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40" windowHeight="8835" tabRatio="848" activeTab="0"/>
  </bookViews>
  <sheets>
    <sheet name="Intro &amp; TOC" sheetId="1" r:id="rId1"/>
    <sheet name="How To..." sheetId="2" r:id="rId2"/>
    <sheet name="16Plus CT no pump" sheetId="3" r:id="rId3"/>
    <sheet name="16Plus CTD no pump" sheetId="4" r:id="rId4"/>
    <sheet name="16Plus CT, pumped" sheetId="5" r:id="rId5"/>
    <sheet name="16Plus&amp;19Plus CTD, pumped" sheetId="6" r:id="rId6"/>
    <sheet name="16PIM CT no pump" sheetId="7" r:id="rId7"/>
    <sheet name="16PIM CTD no pump" sheetId="8" r:id="rId8"/>
    <sheet name="16PIM CT, pumped" sheetId="9" r:id="rId9"/>
    <sheet name="16PIM CTD, pumped" sheetId="10" r:id="rId10"/>
    <sheet name="16Plus RS-485 CT no pump" sheetId="11" r:id="rId11"/>
    <sheet name="16Plus RS-485 CTD no pump" sheetId="12" r:id="rId12"/>
    <sheet name="16Plus RS-485 CT, pumped" sheetId="13" r:id="rId13"/>
    <sheet name="16Plus RS-485 CTD, pumped" sheetId="14" r:id="rId14"/>
    <sheet name="37IM CT" sheetId="15" r:id="rId15"/>
    <sheet name="37IM CTD" sheetId="16" r:id="rId16"/>
    <sheet name="37IMP CT" sheetId="17" r:id="rId17"/>
    <sheet name="37IMP CTD" sheetId="18" r:id="rId18"/>
    <sheet name="37SM CT intpower" sheetId="19" r:id="rId19"/>
    <sheet name="37SM CT extpower" sheetId="20" r:id="rId20"/>
    <sheet name="37SM CTD intpower" sheetId="21" r:id="rId21"/>
    <sheet name="37SM CTD extpower" sheetId="22" r:id="rId22"/>
    <sheet name="37SM CT RS-485" sheetId="23" r:id="rId23"/>
    <sheet name="37SM CTD RS-485" sheetId="24" r:id="rId24"/>
    <sheet name="37SMP CT intpower" sheetId="25" r:id="rId25"/>
    <sheet name="37SMP CT extpower" sheetId="26" r:id="rId26"/>
    <sheet name="37SMP CTD intpower" sheetId="27" r:id="rId27"/>
    <sheet name="37SMP CTD extpower" sheetId="28" r:id="rId28"/>
    <sheet name="37SMP CT RS-485" sheetId="29" r:id="rId29"/>
    <sheet name="37SMP CTD RS-485" sheetId="30" r:id="rId30"/>
    <sheet name="39 interval" sheetId="31" r:id="rId31"/>
    <sheet name="39 continuous" sheetId="32" r:id="rId32"/>
    <sheet name="44 internal power" sheetId="33" r:id="rId33"/>
    <sheet name="16 CT no pump" sheetId="34" r:id="rId34"/>
    <sheet name="16 CTD no pump" sheetId="35" r:id="rId35"/>
    <sheet name="16 CT pumped" sheetId="36" r:id="rId36"/>
    <sheet name="16 CTD pumped" sheetId="37" r:id="rId37"/>
    <sheet name="16 CT latched DO" sheetId="38" r:id="rId38"/>
    <sheet name="16 CTD latched DO" sheetId="39" r:id="rId39"/>
  </sheets>
  <definedNames/>
  <calcPr fullCalcOnLoad="1"/>
</workbook>
</file>

<file path=xl/sharedStrings.xml><?xml version="1.0" encoding="utf-8"?>
<sst xmlns="http://schemas.openxmlformats.org/spreadsheetml/2006/main" count="2641" uniqueCount="293">
  <si>
    <t>Quiescent consumption in AH</t>
  </si>
  <si>
    <t>SBE 16Plus Power Budget Calculations</t>
  </si>
  <si>
    <t>amps</t>
  </si>
  <si>
    <t>sampling duration (s)</t>
  </si>
  <si>
    <t>amp-sec per hr</t>
  </si>
  <si>
    <t>sec/hr</t>
  </si>
  <si>
    <t># of samples/hr</t>
  </si>
  <si>
    <t>amp-sec/hr used</t>
  </si>
  <si>
    <t>(default of 1 sample per hour)</t>
  </si>
  <si>
    <t>current draw (mA)</t>
  </si>
  <si>
    <t>Aux 2</t>
  </si>
  <si>
    <t>Aux 3</t>
  </si>
  <si>
    <t>Aux 4</t>
  </si>
  <si>
    <t>Sum of Auxes</t>
  </si>
  <si>
    <t>Aux 1</t>
  </si>
  <si>
    <t>capacity (AH)</t>
  </si>
  <si>
    <t>battery</t>
  </si>
  <si>
    <t>days</t>
  </si>
  <si>
    <t>hrs</t>
  </si>
  <si>
    <t>yrs</t>
  </si>
  <si>
    <t># samples</t>
  </si>
  <si>
    <t>amp-sec per hr used</t>
  </si>
  <si>
    <t>T&amp;C</t>
  </si>
  <si>
    <t>Druck</t>
  </si>
  <si>
    <t>SBE 38 or 50</t>
  </si>
  <si>
    <t>Date/Time</t>
  </si>
  <si>
    <t>GTD 1</t>
  </si>
  <si>
    <t>GTD 2</t>
  </si>
  <si>
    <t>Sum</t>
  </si>
  <si>
    <t>Available</t>
  </si>
  <si>
    <t>Samples</t>
  </si>
  <si>
    <t>mA</t>
  </si>
  <si>
    <t>(add quiescent&amp;auxes)</t>
  </si>
  <si>
    <t>bytes used</t>
  </si>
  <si>
    <t>(enter variables into green boxes)</t>
  </si>
  <si>
    <t>CT, no pump</t>
  </si>
  <si>
    <t>(alkaline only)</t>
  </si>
  <si>
    <t>( 0°C &lt;value&lt; 20°C, enter 20 if &gt;20)</t>
  </si>
  <si>
    <t>Notes:</t>
  </si>
  <si>
    <t>Shelf Life for Lithium battteries is ~10 years</t>
  </si>
  <si>
    <t>Note: enter 20 if using lithium batteries</t>
  </si>
  <si>
    <t>Average Water Temp °C</t>
  </si>
  <si>
    <t>CTD, no pump</t>
  </si>
  <si>
    <t>Deployments of alkaline batteries longer than 2 years are not advised, regardless of calculated deployment life</t>
  </si>
  <si>
    <t>Commun. Current</t>
  </si>
  <si>
    <t># of moored instruments</t>
  </si>
  <si>
    <t>SBE 37SM Power Budget Calculations</t>
  </si>
  <si>
    <t>CT, no pressure</t>
  </si>
  <si>
    <t>Autonomous or Serial Line Sync Sampling</t>
  </si>
  <si>
    <t>NAVG (default = 1)</t>
  </si>
  <si>
    <t xml:space="preserve"> (7.2AH is nominal, 5AH is conservative)</t>
  </si>
  <si>
    <t>range = 1 to 1000</t>
  </si>
  <si>
    <t>Polled Sampling</t>
  </si>
  <si>
    <t>Time Stamp</t>
  </si>
  <si>
    <t xml:space="preserve"> (no) Druck</t>
  </si>
  <si>
    <t>Per Sample</t>
  </si>
  <si>
    <t>Deployments of batteries longer than 2 years are not advised, regardless of calculated deployment life</t>
  </si>
  <si>
    <t>CT with pressure</t>
  </si>
  <si>
    <t>SBE 37IM Power Budget Calculations</t>
  </si>
  <si>
    <t>seconds of sampling</t>
  </si>
  <si>
    <t>Pump current consumption for 0.5 sec</t>
  </si>
  <si>
    <t>SBE 37IMP Power Budget Calculations</t>
  </si>
  <si>
    <t>SBE 39 Power Budget Calculations</t>
  </si>
  <si>
    <t>polled sampling; interval, autonomous</t>
  </si>
  <si>
    <t>sampling; or serial line sync sampling</t>
  </si>
  <si>
    <t>No Pressure sensor</t>
  </si>
  <si>
    <t xml:space="preserve"> in hrs</t>
  </si>
  <si>
    <t xml:space="preserve"> or in days</t>
  </si>
  <si>
    <t>amp-sec per sample</t>
  </si>
  <si>
    <t>(1.1 for Lithium)</t>
  </si>
  <si>
    <t>acquisition current</t>
  </si>
  <si>
    <t>(0.3 for Alkaline for warm water)</t>
  </si>
  <si>
    <t>Pressure sensor installed</t>
  </si>
  <si>
    <t>Temp/Time</t>
  </si>
  <si>
    <t>Pressure</t>
  </si>
  <si>
    <t>using Power endurance examples SBE 39 manual v16, p10</t>
  </si>
  <si>
    <t>Avg. Water Temp °C</t>
  </si>
  <si>
    <t>continuous sampling</t>
  </si>
  <si>
    <t>duration</t>
  </si>
  <si>
    <t xml:space="preserve">Number of </t>
  </si>
  <si>
    <t xml:space="preserve"> (seconds)</t>
  </si>
  <si>
    <t>samples</t>
  </si>
  <si>
    <t>Temp only, Real time = N</t>
  </si>
  <si>
    <t>Temp only, Real time = Y</t>
  </si>
  <si>
    <t>T&amp;P, Real time = N</t>
  </si>
  <si>
    <t>T&amp;P, Real time = Y</t>
  </si>
  <si>
    <t>using Power endurance examples SBE 39 manual v16, p10 and INTERVAL = X (= 0) on page 24</t>
  </si>
  <si>
    <t xml:space="preserve"> = 2.33 sec + (0.87 sec * (NAVG-1))</t>
  </si>
  <si>
    <t xml:space="preserve"> = 1.22 sec + (0.87 sec * (NAVG-1))</t>
  </si>
  <si>
    <t>CT, no pressure, internal power</t>
  </si>
  <si>
    <t>(sec) sampling duration</t>
  </si>
  <si>
    <t>(min) sampling interval</t>
  </si>
  <si>
    <t>CT, no pressure, external power</t>
  </si>
  <si>
    <t>CT with pressure, internal power</t>
  </si>
  <si>
    <t xml:space="preserve"> = 2.83 sec + (1.27 sec * (NAVG-1))</t>
  </si>
  <si>
    <t xml:space="preserve"> = 1.72 sec + (1.27 sec * (NAVG-1))</t>
  </si>
  <si>
    <t>CT with pressure, external power</t>
  </si>
  <si>
    <t>Number of  Instruments on line</t>
  </si>
  <si>
    <t>CT, no pressure, RS-485</t>
  </si>
  <si>
    <t>CT with pressure, RS-485</t>
  </si>
  <si>
    <t xml:space="preserve"> = 2.83 sec + (1.87 sec * (NAVG-1))</t>
  </si>
  <si>
    <t xml:space="preserve"> = 2.24 sec + (1.87 sec * (NAVG-1))</t>
  </si>
  <si>
    <t xml:space="preserve"> = 3.33 sec + (2.27 sec * (NAVG-1))</t>
  </si>
  <si>
    <t xml:space="preserve"> = 2.74 sec + (2.27 sec * (NAVG-1))</t>
  </si>
  <si>
    <t>SBE 44 Power Budget Calculations</t>
  </si>
  <si>
    <t>Using specification from SBE 44 manual v12, p10</t>
  </si>
  <si>
    <t>SBE 16 Power Budget Calculations</t>
  </si>
  <si>
    <t>Sampling duration is by default 5 seconds</t>
  </si>
  <si>
    <t>Aux 1, 2 (pair)</t>
  </si>
  <si>
    <t>Aux 3, 4 (pair)</t>
  </si>
  <si>
    <t>using SBE 16 manual v16.10</t>
  </si>
  <si>
    <t>~Available</t>
  </si>
  <si>
    <t>Capacity (Kb)</t>
  </si>
  <si>
    <t>Note: Storage Capability (on-board memory) is approximate; i.e. for '1024' Kbytes, there are actually 1043 Kbytes (1048k capacity - 5k scratchpad)</t>
  </si>
  <si>
    <t>w/ Paine</t>
  </si>
  <si>
    <t>w/ Digiquartz</t>
  </si>
  <si>
    <t>for PAINE installed pressure sensor</t>
  </si>
  <si>
    <t>for DIGIQUARTZ installed pressure sensor</t>
  </si>
  <si>
    <t>Sampling duration is by default 6.7 seconds</t>
  </si>
  <si>
    <t>CT with pump</t>
  </si>
  <si>
    <t>(added pump current)</t>
  </si>
  <si>
    <t>CTD with pump</t>
  </si>
  <si>
    <t>communication time</t>
  </si>
  <si>
    <t>per wake up [sec.]</t>
  </si>
  <si>
    <t>Also applies to SBE 19 in moored mode</t>
  </si>
  <si>
    <t>Aux 1&amp;2 DO</t>
  </si>
  <si>
    <t>Sum of Auxes 3&amp;4</t>
  </si>
  <si>
    <t>CT with pump &amp; DO</t>
  </si>
  <si>
    <t>CTD with pump &amp; DO</t>
  </si>
  <si>
    <t>Communication</t>
  </si>
  <si>
    <t>On-time</t>
  </si>
  <si>
    <t>(minute interval)</t>
  </si>
  <si>
    <t>Power to External Device (optional, may not apply)</t>
  </si>
  <si>
    <t>Capacity (kbyte)</t>
  </si>
  <si>
    <t>bytes</t>
  </si>
  <si>
    <t>Sampling duration is by default 20 seconds</t>
  </si>
  <si>
    <t>Capacity (Kbytes)</t>
  </si>
  <si>
    <t>Jump link:</t>
  </si>
  <si>
    <t>Instrument and configuration</t>
  </si>
  <si>
    <t>(click here to -&gt; Intro)</t>
  </si>
  <si>
    <t>Product Manual examples and values have been used to confirm these calculations and the Manual revision is noted.</t>
  </si>
  <si>
    <t>Some 'default' values in this calculator may vary from published values - we will attempt to note differences in the specific configuration "Notes:"</t>
  </si>
  <si>
    <t>Introduction</t>
  </si>
  <si>
    <t xml:space="preserve">This power budget calculator is published as an aid in determining the number of samples for a specified sample duration or rate, </t>
  </si>
  <si>
    <t xml:space="preserve">Due to variations in components, instrumentation, production revisions, battery age or shelf life and general factors beyond our control, </t>
  </si>
  <si>
    <t>SBE 16 SEACAT CT Recorder, no pump</t>
  </si>
  <si>
    <t>SBE 16 SEACAT CTD Recorder, no pump</t>
  </si>
  <si>
    <t>SBE 16 SEACAT CT Recorder, with pump</t>
  </si>
  <si>
    <t>SBE 16 SEACAT CTD Recorder, with pump</t>
  </si>
  <si>
    <t>SBE 16 SEACAT CT &amp; latched DO Recorder</t>
  </si>
  <si>
    <t>SBE 16 SEACAT CTD &amp; latched DO Recorder</t>
  </si>
  <si>
    <t>SBE 37SM MicroCAT CT Recorder, internal power</t>
  </si>
  <si>
    <t>SBE 37SM MicroCAT CT Recorder, external power</t>
  </si>
  <si>
    <t>SBE 37SM MicroCAT CTD Recorder, internal power</t>
  </si>
  <si>
    <t>SBE 37SM MicroCAT CTD Recorder, external power</t>
  </si>
  <si>
    <t>SBE 37SM MicroCAT CT Recorder, RS-485</t>
  </si>
  <si>
    <t>SBE 37SM MicroCAT CTD Recorder, RS-485</t>
  </si>
  <si>
    <t>SBE 37IM MicroCAT CT Recorder</t>
  </si>
  <si>
    <t>SBE 37IM MicroCAT CTD Recorder</t>
  </si>
  <si>
    <t>SBE 37SMP MicroCAT CT Recorder, internal power</t>
  </si>
  <si>
    <t>SBE 37SMP MicroCAT CT Recorder, external power</t>
  </si>
  <si>
    <t>SBE 37SMP MicroCAT CTD Recorder, internal power</t>
  </si>
  <si>
    <t>SBE 37SMP MicroCAT CTD Recorder, external power</t>
  </si>
  <si>
    <t>SBE 37SMP MicroCAT CT Recorder, RS-485</t>
  </si>
  <si>
    <t>SBE 37SMP MicroCAT CTD Recorder, RS-485</t>
  </si>
  <si>
    <t>SBE 37IMP MicroCAT CT Recorder</t>
  </si>
  <si>
    <t>SBE 37IMP MicroCAT CTD Recorder</t>
  </si>
  <si>
    <t>SBE 39 Temperature (optional P) Recorder - interval</t>
  </si>
  <si>
    <t>SBE 39 Temperature (optional P) Recorder - continuous</t>
  </si>
  <si>
    <t>SBE 44 Underwater Inductive Modem</t>
  </si>
  <si>
    <t>Notes</t>
  </si>
  <si>
    <t>General Instructions</t>
  </si>
  <si>
    <t>This calculator is based upon the Specifications, Battery Endurance and Sample Timing information and examples in the product manuals</t>
  </si>
  <si>
    <t>clicking on the tabs below the sheet</t>
  </si>
  <si>
    <t>Updates, corrections, features, etc.</t>
  </si>
  <si>
    <t>Please email suggestions, etc. to Brian via: bmccully@seabird.com</t>
  </si>
  <si>
    <t>Target duration =</t>
  </si>
  <si>
    <t>months (~30 days/m)</t>
  </si>
  <si>
    <t>Sampling duration (default 2.2 seconds)</t>
  </si>
  <si>
    <t>Battery</t>
  </si>
  <si>
    <t xml:space="preserve">      deployment</t>
  </si>
  <si>
    <t>% used</t>
  </si>
  <si>
    <t>(enter x number of Ncycles)</t>
  </si>
  <si>
    <t xml:space="preserve">days or </t>
  </si>
  <si>
    <t>months</t>
  </si>
  <si>
    <t>*range is 1 to 255</t>
  </si>
  <si>
    <t>use 12.2 amp-hours for no pump or auxiliary sensors</t>
  </si>
  <si>
    <t>(+quiescent+auxes)</t>
  </si>
  <si>
    <t>use 10.5 amp-hours for pump or aux sensors</t>
  </si>
  <si>
    <t>sampling time</t>
  </si>
  <si>
    <t>(min) interval</t>
  </si>
  <si>
    <t>(sec) interval</t>
  </si>
  <si>
    <t>(sampleinterval = x)</t>
  </si>
  <si>
    <t>Memory</t>
  </si>
  <si>
    <t xml:space="preserve">e.g. if the WETStar @ 10V draws ~45mA, </t>
  </si>
  <si>
    <t xml:space="preserve">       then enter a value = 45</t>
  </si>
  <si>
    <t>using Power endurance examples SBE 16Plus manual v11</t>
  </si>
  <si>
    <t>*Maximum number of Ncycles is the smaller of Ncycles = 1 to 255 or (4*(sampleinterval-3))</t>
  </si>
  <si>
    <t>Sampling duration (default 2.5 seconds)</t>
  </si>
  <si>
    <t>Parosintegration=</t>
  </si>
  <si>
    <t>(sec)</t>
  </si>
  <si>
    <t>range is 1 to 6000</t>
  </si>
  <si>
    <t>Deployments of alkaline batteries longer than 2 years are not advised</t>
  </si>
  <si>
    <t>CT, with pump</t>
  </si>
  <si>
    <t>Sampling duration</t>
  </si>
  <si>
    <t xml:space="preserve">                 Total  </t>
  </si>
  <si>
    <t>ncycle sum (sec)</t>
  </si>
  <si>
    <t>sec</t>
  </si>
  <si>
    <t xml:space="preserve">5M (or 5T) current </t>
  </si>
  <si>
    <t>(default is 0.5 sec)</t>
  </si>
  <si>
    <t>mode 1</t>
  </si>
  <si>
    <t>0.1 (or 0.15) amps</t>
  </si>
  <si>
    <t>sampling delay (s)</t>
  </si>
  <si>
    <t>pump time (sec)</t>
  </si>
  <si>
    <t>delaybeforesampling=x</t>
  </si>
  <si>
    <t>mode 2</t>
  </si>
  <si>
    <t>CTD, with pump</t>
  </si>
  <si>
    <t>SBE 16Plus-IM Power Calculations</t>
  </si>
  <si>
    <t>requests/hr</t>
  </si>
  <si>
    <t>Druck (0) or Digi (1)</t>
  </si>
  <si>
    <t>#iidelaybeforesampling=x</t>
  </si>
  <si>
    <t>*Maximum number of Ncycles is the smaller of Ncycles = 1 to 255 or (4*(sampleinterval-3)) and only even increments are used with Digiquartz (2,4,6, etc.)</t>
  </si>
  <si>
    <t>SBE 16Plus RS-485 Power Calculations</t>
  </si>
  <si>
    <t>Note: For SBE 19Plus moored mode calculation, set Parosintegration to zero value.</t>
  </si>
  <si>
    <t>enter a value = 45</t>
  </si>
  <si>
    <t>Storage Capability (on-board memory) is approximate; i.e. for '1024' Kbytes, there are actually 1043 Kbytes (1048k capacity - 5k scratchpad)</t>
  </si>
  <si>
    <t>using SBE 16 manual v16.10, also applies to SBE 19 in moored mode</t>
  </si>
  <si>
    <t>DIGIQTZ</t>
  </si>
  <si>
    <t>PAINE</t>
  </si>
  <si>
    <t>Note: some fields to the right of the visible spreadsheet area are used for data or calculations - do not overwrite or the spreadsheet may not function properly</t>
  </si>
  <si>
    <t>Green fields</t>
  </si>
  <si>
    <t xml:space="preserve">are user-entry fields for the variety of deployment schemes. </t>
  </si>
  <si>
    <t>Blue fields</t>
  </si>
  <si>
    <t>are calculated values used for programming the CTD or for general information</t>
  </si>
  <si>
    <t>fields are used for gauging available memory or battery life</t>
  </si>
  <si>
    <t xml:space="preserve">    deployment</t>
  </si>
  <si>
    <t xml:space="preserve"> % used</t>
  </si>
  <si>
    <t>days or</t>
  </si>
  <si>
    <t>(sec) sampling interval</t>
  </si>
  <si>
    <t>(Interval =x)</t>
  </si>
  <si>
    <t>(0 or 4)</t>
  </si>
  <si>
    <t>Autonom.</t>
  </si>
  <si>
    <t>Polled</t>
  </si>
  <si>
    <t>using Power endurance examples SBE 37SM manual v22</t>
  </si>
  <si>
    <t>Using Power endurance examples SBE 37IM manual v13, w/ 1.75 seconds added to polled sample</t>
  </si>
  <si>
    <t>Using Power endurance examples SBE 37IMP manual v3, w/ 1.75 seconds added to polled sample</t>
  </si>
  <si>
    <t>SBE 37SMP Power Calculations</t>
  </si>
  <si>
    <t>using Power endurance examples SBE 37SMP manual v3</t>
  </si>
  <si>
    <t>SBE 37SMP RS-485 Power Calculations</t>
  </si>
  <si>
    <t>with Druck</t>
  </si>
  <si>
    <t>no Druck</t>
  </si>
  <si>
    <t>SBE 39 Interval Operation Power Budget Calculation</t>
  </si>
  <si>
    <t>available samples</t>
  </si>
  <si>
    <t xml:space="preserve">         deployment capability</t>
  </si>
  <si>
    <t xml:space="preserve"> % of Memory</t>
  </si>
  <si>
    <t>16Plus CT no pump</t>
  </si>
  <si>
    <t>16Plus CTD no pump</t>
  </si>
  <si>
    <t>16Plus CT, pumped</t>
  </si>
  <si>
    <t>16Plus CTD, pumped</t>
  </si>
  <si>
    <t>16PIM CT no pump</t>
  </si>
  <si>
    <t>16PIM CTD no pump</t>
  </si>
  <si>
    <t>16PIM CT, pumped</t>
  </si>
  <si>
    <t>16PIM CTD, pumped</t>
  </si>
  <si>
    <t>16Plus RS-485 CT no pump</t>
  </si>
  <si>
    <t>16Plus RS-485 CTD no pump</t>
  </si>
  <si>
    <t>16Plus RS-485 CT pumped</t>
  </si>
  <si>
    <t>16Plus RS-485 CTD pumped</t>
  </si>
  <si>
    <t>&gt;</t>
  </si>
  <si>
    <t>(click on the &gt; below)</t>
  </si>
  <si>
    <t>Digiquartz</t>
  </si>
  <si>
    <t>**pump mode</t>
  </si>
  <si>
    <t>** Pump mode 1 does not incorporate the 'delay before sampling' values - this operation would rarely if ever be used</t>
  </si>
  <si>
    <t>SBE 16Plus/19Plus Power Calculations</t>
  </si>
  <si>
    <t>This calculator file is intended to be "saved as" and tailored for your application - i.e. it is not a read only file.</t>
  </si>
  <si>
    <t>If you wish to use areas outside of the user entry fields (for example, for scratchpad user notes), change the Tools&gt;Protection&gt;Unprotect Sheet status</t>
  </si>
  <si>
    <t xml:space="preserve">the tab names may also be edited (renamed, copied, moved, etc.) by </t>
  </si>
  <si>
    <t>right-clicking on the tab</t>
  </si>
  <si>
    <t>note: the various worksheet instrument configurations may also be accessed via</t>
  </si>
  <si>
    <t>Sea-Bird Electronics Moored Instrument Battery Budget Calculator v1.0</t>
  </si>
  <si>
    <t>This function can also be used for optimized sampling - i.e. setting up the fastest sample rate for a target deployment span.</t>
  </si>
  <si>
    <t>The Water temperature function applies for calculations using Alkaline batteries, for which capacity decreases with colder water temperatures.</t>
  </si>
  <si>
    <t xml:space="preserve">The Target Duration function (not found in the product manual) can be used as a general 'gas gauge' determination </t>
  </si>
  <si>
    <t>Peach</t>
  </si>
  <si>
    <t>based on Sea-Bird's conservative estimate of battery capacity and an instrument's memory capacity.  Our battery capacity estimates are based</t>
  </si>
  <si>
    <t>Values for current consumption used in these calculators are taken from our product manuals and third party manufacturer's data sheets.</t>
  </si>
  <si>
    <t>Note: For SBE 26 and 26plus Wave and Tide Recorder - use the power budget calculation module incorporated into SEASOFT for WAVES</t>
  </si>
  <si>
    <t xml:space="preserve">We have measured all of the performance parameters of the instruments and their respective configurations of current SBE production instrumentation, </t>
  </si>
  <si>
    <t xml:space="preserve">and we believe these values are conservative. Our best effort has been made to provide a useful deployemnt planning tool, while minimizing the </t>
  </si>
  <si>
    <t>risk of data loss due to overly optimistic battery capacity assumptions.</t>
  </si>
  <si>
    <t>GENERAL DISCLAIMER</t>
  </si>
  <si>
    <t>Sea-Bird Electronics offers this calculator FOR USE AT THE END USER'S OWN RISK. Instrument battery life (like automobile gasoline mileage)</t>
  </si>
  <si>
    <t>may vary in any given environment.</t>
  </si>
  <si>
    <t xml:space="preserve">on manufacturer's published capacity, and adjusted (de-rated) for cold temperature and cut-off voltage characteristics of particular instruments.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</si>
</sst>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[$-409]dddd\,\ mmmm\ dd\,\ yyyy"/>
    <numFmt numFmtId="171" formatCode="[$-409]h:mm:ss\ AM/PM"/>
    <numFmt numFmtId="172" formatCode="0.0%"/>
  </numFmts>
  <fonts count="14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b/>
      <sz val="10"/>
      <color indexed="12"/>
      <name val="Arial"/>
      <family val="2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1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2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" fontId="0" fillId="0" borderId="5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2" borderId="7" xfId="0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/>
      <protection locked="0"/>
    </xf>
    <xf numFmtId="3" fontId="0" fillId="3" borderId="0" xfId="0" applyNumberFormat="1" applyFont="1" applyFill="1" applyAlignment="1">
      <alignment horizontal="right"/>
    </xf>
    <xf numFmtId="1" fontId="0" fillId="3" borderId="0" xfId="0" applyNumberFormat="1" applyFont="1" applyFill="1" applyAlignment="1">
      <alignment horizontal="right"/>
    </xf>
    <xf numFmtId="2" fontId="0" fillId="3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right"/>
      <protection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horizontal="right"/>
    </xf>
    <xf numFmtId="0" fontId="7" fillId="2" borderId="7" xfId="0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0" fontId="3" fillId="5" borderId="0" xfId="0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38" fontId="0" fillId="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4" borderId="0" xfId="0" applyFont="1" applyFill="1" applyAlignment="1">
      <alignment horizontal="left"/>
    </xf>
    <xf numFmtId="169" fontId="0" fillId="0" borderId="0" xfId="0" applyNumberFormat="1" applyFont="1" applyBorder="1" applyAlignment="1">
      <alignment horizontal="right"/>
    </xf>
    <xf numFmtId="0" fontId="0" fillId="2" borderId="7" xfId="0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2" fillId="6" borderId="7" xfId="0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 horizontal="right"/>
    </xf>
    <xf numFmtId="3" fontId="0" fillId="7" borderId="9" xfId="0" applyNumberFormat="1" applyFont="1" applyFill="1" applyBorder="1" applyAlignment="1">
      <alignment horizontal="right"/>
    </xf>
    <xf numFmtId="168" fontId="0" fillId="0" borderId="8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1" xfId="0" applyNumberFormat="1" applyFont="1" applyBorder="1" applyAlignment="1">
      <alignment horizontal="left"/>
    </xf>
    <xf numFmtId="168" fontId="0" fillId="0" borderId="6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20" applyBorder="1" applyAlignment="1" applyProtection="1">
      <alignment horizontal="center"/>
      <protection locked="0"/>
    </xf>
    <xf numFmtId="0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0" xfId="20" applyBorder="1" applyAlignment="1" applyProtection="1">
      <alignment horizontal="center"/>
      <protection/>
    </xf>
    <xf numFmtId="1" fontId="0" fillId="5" borderId="0" xfId="0" applyNumberFormat="1" applyFont="1" applyFill="1" applyAlignment="1">
      <alignment horizontal="right"/>
    </xf>
    <xf numFmtId="168" fontId="0" fillId="2" borderId="7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Alignment="1">
      <alignment horizontal="left"/>
    </xf>
    <xf numFmtId="0" fontId="0" fillId="5" borderId="7" xfId="0" applyFont="1" applyFill="1" applyBorder="1" applyAlignment="1">
      <alignment horizontal="center"/>
    </xf>
    <xf numFmtId="1" fontId="0" fillId="0" borderId="8" xfId="0" applyNumberFormat="1" applyFont="1" applyBorder="1" applyAlignment="1">
      <alignment horizontal="left"/>
    </xf>
    <xf numFmtId="1" fontId="0" fillId="0" borderId="8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3" fontId="0" fillId="3" borderId="0" xfId="0" applyNumberFormat="1" applyFont="1" applyFill="1" applyBorder="1" applyAlignment="1">
      <alignment horizontal="right"/>
    </xf>
    <xf numFmtId="168" fontId="0" fillId="3" borderId="0" xfId="0" applyNumberFormat="1" applyFont="1" applyFill="1" applyBorder="1" applyAlignment="1">
      <alignment horizontal="right"/>
    </xf>
    <xf numFmtId="9" fontId="0" fillId="5" borderId="5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0" fillId="0" borderId="6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9" fontId="0" fillId="5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0" fillId="5" borderId="11" xfId="0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0" fontId="0" fillId="5" borderId="7" xfId="0" applyFont="1" applyFill="1" applyBorder="1" applyAlignment="1">
      <alignment/>
    </xf>
    <xf numFmtId="1" fontId="0" fillId="0" borderId="4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 horizontal="left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5" borderId="0" xfId="0" applyFill="1" applyAlignment="1">
      <alignment horizontal="center"/>
    </xf>
    <xf numFmtId="1" fontId="0" fillId="0" borderId="11" xfId="0" applyNumberFormat="1" applyFont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1" fontId="0" fillId="0" borderId="4" xfId="0" applyNumberFormat="1" applyFont="1" applyBorder="1" applyAlignment="1">
      <alignment/>
    </xf>
    <xf numFmtId="1" fontId="0" fillId="0" borderId="6" xfId="0" applyNumberFormat="1" applyFont="1" applyBorder="1" applyAlignment="1">
      <alignment horizontal="right"/>
    </xf>
    <xf numFmtId="3" fontId="0" fillId="7" borderId="4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2" fontId="0" fillId="0" borderId="4" xfId="0" applyNumberFormat="1" applyFont="1" applyBorder="1" applyAlignment="1">
      <alignment horizontal="right"/>
    </xf>
    <xf numFmtId="1" fontId="0" fillId="3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1" fontId="0" fillId="0" borderId="13" xfId="0" applyNumberFormat="1" applyFont="1" applyBorder="1" applyAlignment="1">
      <alignment horizontal="center"/>
    </xf>
    <xf numFmtId="9" fontId="0" fillId="5" borderId="14" xfId="0" applyNumberFormat="1" applyFont="1" applyFill="1" applyBorder="1" applyAlignment="1">
      <alignment horizontal="center"/>
    </xf>
    <xf numFmtId="9" fontId="0" fillId="5" borderId="15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right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0" fontId="0" fillId="0" borderId="2" xfId="0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9" xfId="0" applyNumberFormat="1" applyFont="1" applyBorder="1" applyAlignment="1">
      <alignment horizontal="center"/>
    </xf>
    <xf numFmtId="168" fontId="0" fillId="3" borderId="6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11" xfId="0" applyNumberFormat="1" applyFont="1" applyBorder="1" applyAlignment="1">
      <alignment horizontal="left"/>
    </xf>
    <xf numFmtId="168" fontId="0" fillId="0" borderId="3" xfId="0" applyNumberFormat="1" applyFont="1" applyBorder="1" applyAlignment="1">
      <alignment horizontal="center"/>
    </xf>
    <xf numFmtId="168" fontId="0" fillId="3" borderId="9" xfId="0" applyNumberFormat="1" applyFont="1" applyFill="1" applyBorder="1" applyAlignment="1">
      <alignment horizontal="right"/>
    </xf>
    <xf numFmtId="9" fontId="0" fillId="0" borderId="14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0" fontId="12" fillId="0" borderId="0" xfId="20" applyFont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5" fontId="13" fillId="0" borderId="0" xfId="0" applyNumberFormat="1" applyFont="1" applyAlignment="1">
      <alignment horizontal="center"/>
    </xf>
    <xf numFmtId="1" fontId="0" fillId="2" borderId="12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3">
      <selection activeCell="A57" sqref="A57"/>
    </sheetView>
  </sheetViews>
  <sheetFormatPr defaultColWidth="9.140625" defaultRowHeight="12.75"/>
  <cols>
    <col min="1" max="1" width="10.7109375" style="0" customWidth="1"/>
    <col min="6" max="6" width="9.421875" style="0" bestFit="1" customWidth="1"/>
  </cols>
  <sheetData>
    <row r="1" spans="1:11" ht="12.75">
      <c r="A1" s="37" t="s">
        <v>278</v>
      </c>
      <c r="K1" s="167">
        <v>38219</v>
      </c>
    </row>
    <row r="3" ht="12.75">
      <c r="A3" s="37" t="s">
        <v>142</v>
      </c>
    </row>
    <row r="4" ht="12.75" customHeight="1">
      <c r="A4" t="s">
        <v>143</v>
      </c>
    </row>
    <row r="5" ht="12.75">
      <c r="A5" s="77" t="s">
        <v>283</v>
      </c>
    </row>
    <row r="6" ht="12.75">
      <c r="A6" s="77" t="s">
        <v>292</v>
      </c>
    </row>
    <row r="7" ht="12.75">
      <c r="A7" s="77" t="s">
        <v>284</v>
      </c>
    </row>
    <row r="8" ht="12.75">
      <c r="A8" s="77" t="s">
        <v>286</v>
      </c>
    </row>
    <row r="9" ht="12.75">
      <c r="A9" s="77" t="s">
        <v>287</v>
      </c>
    </row>
    <row r="10" ht="12.75">
      <c r="A10" s="77" t="s">
        <v>288</v>
      </c>
    </row>
    <row r="11" ht="12.75">
      <c r="A11" s="77"/>
    </row>
    <row r="12" s="37" customFormat="1" ht="12.75">
      <c r="A12" s="169" t="s">
        <v>285</v>
      </c>
    </row>
    <row r="13" ht="12.75">
      <c r="A13" s="77"/>
    </row>
    <row r="14" ht="12.75">
      <c r="A14" s="79" t="s">
        <v>289</v>
      </c>
    </row>
    <row r="16" ht="12.75">
      <c r="A16" s="118" t="s">
        <v>144</v>
      </c>
    </row>
    <row r="17" ht="12.75">
      <c r="A17" s="118" t="s">
        <v>290</v>
      </c>
    </row>
    <row r="18" ht="12.75">
      <c r="A18" s="118" t="s">
        <v>291</v>
      </c>
    </row>
    <row r="19" ht="12.75">
      <c r="A19" s="166"/>
    </row>
    <row r="20" s="37" customFormat="1" ht="12.75">
      <c r="A20" s="37" t="s">
        <v>170</v>
      </c>
    </row>
    <row r="21" ht="12.75">
      <c r="A21" t="s">
        <v>140</v>
      </c>
    </row>
    <row r="22" ht="12.75">
      <c r="A22" t="s">
        <v>141</v>
      </c>
    </row>
    <row r="24" ht="12.75">
      <c r="A24" s="37" t="s">
        <v>174</v>
      </c>
    </row>
    <row r="25" ht="12.75">
      <c r="A25" t="s">
        <v>175</v>
      </c>
    </row>
    <row r="27" spans="1:8" ht="12.75">
      <c r="A27" t="s">
        <v>137</v>
      </c>
      <c r="B27" t="s">
        <v>138</v>
      </c>
      <c r="H27" t="s">
        <v>277</v>
      </c>
    </row>
    <row r="28" spans="1:8" ht="12.75">
      <c r="A28" s="80" t="s">
        <v>268</v>
      </c>
      <c r="H28" t="s">
        <v>173</v>
      </c>
    </row>
    <row r="29" spans="1:8" ht="12.75">
      <c r="A29" s="164" t="s">
        <v>267</v>
      </c>
      <c r="B29" t="s">
        <v>255</v>
      </c>
      <c r="H29" t="s">
        <v>275</v>
      </c>
    </row>
    <row r="30" spans="1:8" ht="12.75">
      <c r="A30" s="164" t="s">
        <v>267</v>
      </c>
      <c r="B30" t="s">
        <v>256</v>
      </c>
      <c r="H30" t="s">
        <v>276</v>
      </c>
    </row>
    <row r="31" spans="1:2" ht="12.75">
      <c r="A31" s="164" t="s">
        <v>267</v>
      </c>
      <c r="B31" t="s">
        <v>257</v>
      </c>
    </row>
    <row r="32" spans="1:2" ht="12.75">
      <c r="A32" s="164" t="s">
        <v>267</v>
      </c>
      <c r="B32" t="s">
        <v>258</v>
      </c>
    </row>
    <row r="33" spans="1:2" ht="12.75">
      <c r="A33" s="164" t="s">
        <v>267</v>
      </c>
      <c r="B33" t="s">
        <v>259</v>
      </c>
    </row>
    <row r="34" spans="1:2" ht="12.75">
      <c r="A34" s="164" t="s">
        <v>267</v>
      </c>
      <c r="B34" t="s">
        <v>260</v>
      </c>
    </row>
    <row r="35" spans="1:2" ht="12.75">
      <c r="A35" s="164" t="s">
        <v>267</v>
      </c>
      <c r="B35" t="s">
        <v>261</v>
      </c>
    </row>
    <row r="36" spans="1:2" ht="12.75">
      <c r="A36" s="164" t="s">
        <v>267</v>
      </c>
      <c r="B36" t="s">
        <v>262</v>
      </c>
    </row>
    <row r="37" spans="1:2" ht="12.75">
      <c r="A37" s="164" t="s">
        <v>267</v>
      </c>
      <c r="B37" t="s">
        <v>263</v>
      </c>
    </row>
    <row r="38" spans="1:2" ht="12.75">
      <c r="A38" s="164" t="s">
        <v>267</v>
      </c>
      <c r="B38" t="s">
        <v>264</v>
      </c>
    </row>
    <row r="39" spans="1:2" ht="12.75">
      <c r="A39" s="164" t="s">
        <v>267</v>
      </c>
      <c r="B39" t="s">
        <v>265</v>
      </c>
    </row>
    <row r="40" spans="1:2" ht="12.75">
      <c r="A40" s="164" t="s">
        <v>267</v>
      </c>
      <c r="B40" t="s">
        <v>266</v>
      </c>
    </row>
    <row r="41" spans="1:2" ht="12.75">
      <c r="A41" s="164" t="s">
        <v>267</v>
      </c>
      <c r="B41" t="s">
        <v>157</v>
      </c>
    </row>
    <row r="42" spans="1:2" ht="12.75">
      <c r="A42" s="164" t="s">
        <v>267</v>
      </c>
      <c r="B42" t="s">
        <v>158</v>
      </c>
    </row>
    <row r="43" spans="1:2" ht="12.75">
      <c r="A43" s="164" t="s">
        <v>267</v>
      </c>
      <c r="B43" t="s">
        <v>165</v>
      </c>
    </row>
    <row r="44" spans="1:2" ht="12.75">
      <c r="A44" s="164" t="s">
        <v>267</v>
      </c>
      <c r="B44" t="s">
        <v>166</v>
      </c>
    </row>
    <row r="45" spans="1:2" ht="12.75">
      <c r="A45" s="164" t="s">
        <v>267</v>
      </c>
      <c r="B45" t="s">
        <v>151</v>
      </c>
    </row>
    <row r="46" spans="1:2" ht="12.75">
      <c r="A46" s="164" t="s">
        <v>267</v>
      </c>
      <c r="B46" t="s">
        <v>152</v>
      </c>
    </row>
    <row r="47" spans="1:2" ht="12.75">
      <c r="A47" s="164" t="s">
        <v>267</v>
      </c>
      <c r="B47" t="s">
        <v>153</v>
      </c>
    </row>
    <row r="48" spans="1:2" ht="12.75">
      <c r="A48" s="164" t="s">
        <v>267</v>
      </c>
      <c r="B48" t="s">
        <v>154</v>
      </c>
    </row>
    <row r="49" spans="1:2" ht="12.75">
      <c r="A49" s="164" t="s">
        <v>267</v>
      </c>
      <c r="B49" t="s">
        <v>155</v>
      </c>
    </row>
    <row r="50" spans="1:2" ht="12.75">
      <c r="A50" s="164" t="s">
        <v>267</v>
      </c>
      <c r="B50" t="s">
        <v>156</v>
      </c>
    </row>
    <row r="51" spans="1:2" ht="12.75">
      <c r="A51" s="164" t="s">
        <v>267</v>
      </c>
      <c r="B51" t="s">
        <v>159</v>
      </c>
    </row>
    <row r="52" spans="1:2" ht="12.75">
      <c r="A52" s="164" t="s">
        <v>267</v>
      </c>
      <c r="B52" t="s">
        <v>160</v>
      </c>
    </row>
    <row r="53" spans="1:2" ht="12.75">
      <c r="A53" s="164" t="s">
        <v>267</v>
      </c>
      <c r="B53" t="s">
        <v>161</v>
      </c>
    </row>
    <row r="54" spans="1:2" ht="12.75">
      <c r="A54" s="164" t="s">
        <v>267</v>
      </c>
      <c r="B54" t="s">
        <v>162</v>
      </c>
    </row>
    <row r="55" spans="1:2" ht="12.75">
      <c r="A55" s="164" t="s">
        <v>267</v>
      </c>
      <c r="B55" t="s">
        <v>163</v>
      </c>
    </row>
    <row r="56" spans="1:2" ht="12.75">
      <c r="A56" s="164" t="s">
        <v>267</v>
      </c>
      <c r="B56" t="s">
        <v>164</v>
      </c>
    </row>
    <row r="57" spans="1:2" ht="12.75">
      <c r="A57" s="164" t="s">
        <v>267</v>
      </c>
      <c r="B57" t="s">
        <v>167</v>
      </c>
    </row>
    <row r="58" spans="1:2" ht="12.75">
      <c r="A58" s="164" t="s">
        <v>267</v>
      </c>
      <c r="B58" t="s">
        <v>168</v>
      </c>
    </row>
    <row r="59" spans="1:2" ht="12.75">
      <c r="A59" s="164" t="s">
        <v>267</v>
      </c>
      <c r="B59" t="s">
        <v>169</v>
      </c>
    </row>
    <row r="60" spans="1:2" ht="12.75">
      <c r="A60" s="164" t="s">
        <v>267</v>
      </c>
      <c r="B60" t="s">
        <v>145</v>
      </c>
    </row>
    <row r="61" spans="1:2" ht="12.75">
      <c r="A61" s="164" t="s">
        <v>267</v>
      </c>
      <c r="B61" t="s">
        <v>146</v>
      </c>
    </row>
    <row r="62" spans="1:2" ht="12.75">
      <c r="A62" s="164" t="s">
        <v>267</v>
      </c>
      <c r="B62" t="s">
        <v>147</v>
      </c>
    </row>
    <row r="63" spans="1:2" ht="12.75">
      <c r="A63" s="164" t="s">
        <v>267</v>
      </c>
      <c r="B63" t="s">
        <v>148</v>
      </c>
    </row>
    <row r="64" spans="1:2" ht="12.75">
      <c r="A64" s="164" t="s">
        <v>267</v>
      </c>
      <c r="B64" t="s">
        <v>149</v>
      </c>
    </row>
    <row r="65" spans="1:2" ht="12.75">
      <c r="A65" s="164" t="s">
        <v>267</v>
      </c>
      <c r="B65" t="s">
        <v>150</v>
      </c>
    </row>
  </sheetData>
  <sheetProtection selectLockedCells="1"/>
  <hyperlinks>
    <hyperlink ref="A29" location="'16Plus CT no pump'!A1" display="jump"/>
    <hyperlink ref="A30" location="'16Plus CTD no pump'!A1" display="&gt;"/>
    <hyperlink ref="A31" location="'16Plus CT, pumped'!A1" display="&gt;"/>
    <hyperlink ref="A32" location="'16Plus CTD, pumped'!A1" display="&gt;"/>
    <hyperlink ref="A33" location="'16PIM CT no pump'!A1" display="&gt;"/>
    <hyperlink ref="A34" location="'16PIM CTD no pump'!A1" display="&gt;"/>
    <hyperlink ref="A35" location="'16PIM CT, pumped'!A1" display="&gt;"/>
    <hyperlink ref="A36" location="'16PIM CTD, pumped'!A1" display="&gt;"/>
    <hyperlink ref="A37" location="'16Plus RS-485 CT no pump'!A1" display="&gt;"/>
    <hyperlink ref="A38" location="'16Plus RS-485 CTD no pump'!A1" display="&gt;"/>
    <hyperlink ref="A39" location="'16Plus RS-485 CT, pumped'!A1" display="&gt;"/>
    <hyperlink ref="A40" location="'16Plus RS-485 CTD, pumped'!A1" display="&gt;"/>
    <hyperlink ref="A41" location="'37IM CT'!A1" display="&gt;"/>
    <hyperlink ref="A42" location="'37IM CTD'!A1" display="&gt;"/>
    <hyperlink ref="A43" location="'37IMP CT'!A1" display="&gt;"/>
    <hyperlink ref="A44" location="'37IMP CTD'!A1" display="&gt;"/>
    <hyperlink ref="A45" location="'37SM CT intpower'!A1" display="&gt;"/>
    <hyperlink ref="A46" location="'37SM CT extpower'!A1" display="&gt;"/>
    <hyperlink ref="A47" location="'37SM CTD intpower'!A1" display="&gt;"/>
    <hyperlink ref="A48" location="'37SM CTD extpower'!A1" display="&gt;"/>
    <hyperlink ref="A49" location="'37SM CT RS-485'!A1" display="&gt;"/>
    <hyperlink ref="A50" location="'37SM CTD RS-485'!A1" display="&gt;"/>
    <hyperlink ref="A51" location="'37SMP CT intpower'!A1" display="&gt;"/>
    <hyperlink ref="A52" location="'37SMP CT extpower'!A1" display="&gt;"/>
    <hyperlink ref="A53" location="'37SMP CTD intpower'!A1" display="&gt;"/>
    <hyperlink ref="A54" location="'37SMP CTD extpower'!A1" display="&gt;"/>
    <hyperlink ref="A55" location="'37SMP CT RS-485'!A1" display="&gt;"/>
    <hyperlink ref="A56" location="'37SMP CTD RS-485'!A1" display="&gt;"/>
    <hyperlink ref="A57" location="'39 interval'!A1" display="&gt;"/>
    <hyperlink ref="A58" location="'39 continuous'!A1" display="&gt;"/>
    <hyperlink ref="A59" location="'44 internal power'!A1" display="&gt;"/>
    <hyperlink ref="A60" location="'16 CT no pump'!A1" display="&gt;"/>
    <hyperlink ref="A61" location="'16 CTD no pump'!A1" display="&gt;"/>
    <hyperlink ref="A62" location="'16 CT pumped'!A1" display="&gt;"/>
    <hyperlink ref="A63" location="'16 CTD pumped'!A1" display="&gt;"/>
    <hyperlink ref="A64" location="'16 CT latched DO'!A1" display="&gt;"/>
    <hyperlink ref="A65" location="'16 CTD latched DO'!A1" display="&gt;"/>
  </hyperlink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O37"/>
  <sheetViews>
    <sheetView workbookViewId="0" topLeftCell="A1">
      <selection activeCell="B4" sqref="B4"/>
    </sheetView>
  </sheetViews>
  <sheetFormatPr defaultColWidth="9.140625" defaultRowHeight="12.75"/>
  <cols>
    <col min="1" max="1" width="17.00390625" style="2" customWidth="1"/>
    <col min="2" max="2" width="20.140625" style="2" customWidth="1"/>
    <col min="3" max="3" width="16.8515625" style="2" customWidth="1"/>
    <col min="4" max="4" width="15.8515625" style="2" customWidth="1"/>
    <col min="5" max="5" width="20.00390625" style="2" customWidth="1"/>
    <col min="6" max="6" width="14.28125" style="2" customWidth="1"/>
    <col min="7" max="8" width="8.28125" style="7" customWidth="1"/>
    <col min="9" max="9" width="9.2812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217</v>
      </c>
      <c r="C1" s="35" t="s">
        <v>216</v>
      </c>
      <c r="E1" s="2" t="s">
        <v>41</v>
      </c>
      <c r="F1" s="29">
        <v>20</v>
      </c>
      <c r="G1" s="3" t="s">
        <v>37</v>
      </c>
      <c r="H1" s="2"/>
      <c r="I1" s="2"/>
      <c r="J1" s="2"/>
    </row>
    <row r="2" spans="1:10" ht="12.75">
      <c r="A2" s="3" t="s">
        <v>34</v>
      </c>
      <c r="B2" s="5"/>
      <c r="C2" s="78" t="s">
        <v>139</v>
      </c>
      <c r="E2" s="6" t="s">
        <v>36</v>
      </c>
      <c r="G2" s="38" t="s">
        <v>40</v>
      </c>
      <c r="H2" s="2"/>
      <c r="I2" s="2"/>
      <c r="J2" s="2"/>
    </row>
    <row r="3" spans="1:10" ht="12.75">
      <c r="A3" s="3"/>
      <c r="B3" s="5"/>
      <c r="C3" s="81"/>
      <c r="E3" s="6"/>
      <c r="G3" s="38"/>
      <c r="H3" s="2"/>
      <c r="I3" s="2"/>
      <c r="J3" s="2"/>
    </row>
    <row r="4" spans="1:13" ht="12.75">
      <c r="A4" s="2" t="s">
        <v>44</v>
      </c>
      <c r="B4" s="29">
        <v>10</v>
      </c>
      <c r="C4" s="4">
        <f>0.005*0.5*B4</f>
        <v>0.025</v>
      </c>
      <c r="D4" s="29">
        <v>1</v>
      </c>
      <c r="E4" s="6"/>
      <c r="F4" s="82"/>
      <c r="G4" s="51" t="s">
        <v>176</v>
      </c>
      <c r="H4" s="83">
        <v>1</v>
      </c>
      <c r="I4" s="84" t="s">
        <v>177</v>
      </c>
      <c r="J4" s="82"/>
      <c r="M4" s="2">
        <f>IF(B10&lt;1,0.3,0)</f>
        <v>0</v>
      </c>
    </row>
    <row r="5" spans="2:10" ht="12.75">
      <c r="B5" s="2" t="s">
        <v>45</v>
      </c>
      <c r="C5" s="5" t="s">
        <v>4</v>
      </c>
      <c r="D5" s="2" t="s">
        <v>218</v>
      </c>
      <c r="F5" s="5"/>
      <c r="G5" s="16"/>
      <c r="H5" s="16"/>
      <c r="I5" s="15"/>
      <c r="J5" s="16"/>
    </row>
    <row r="6" spans="1:10" ht="12.75">
      <c r="A6" s="3" t="s">
        <v>204</v>
      </c>
      <c r="D6" s="6"/>
      <c r="F6" s="85" t="s">
        <v>179</v>
      </c>
      <c r="G6" s="86" t="s">
        <v>180</v>
      </c>
      <c r="H6" s="87"/>
      <c r="I6" s="87" t="s">
        <v>20</v>
      </c>
      <c r="J6" s="88" t="s">
        <v>181</v>
      </c>
    </row>
    <row r="7" spans="2:10" s="3" customFormat="1" ht="12.75">
      <c r="B7" s="2" t="s">
        <v>182</v>
      </c>
      <c r="E7" s="6" t="s">
        <v>205</v>
      </c>
      <c r="F7" s="89" t="s">
        <v>15</v>
      </c>
      <c r="G7" s="16" t="s">
        <v>183</v>
      </c>
      <c r="H7" s="16" t="s">
        <v>184</v>
      </c>
      <c r="I7" s="16"/>
      <c r="J7" s="90"/>
    </row>
    <row r="8" spans="1:10" ht="12.75">
      <c r="A8" s="2">
        <v>0.065</v>
      </c>
      <c r="B8" s="91">
        <v>1</v>
      </c>
      <c r="C8" s="4">
        <f>(A8+(B26/1000))*B12</f>
        <v>2.838</v>
      </c>
      <c r="D8" s="29">
        <v>6</v>
      </c>
      <c r="E8" s="4">
        <f>(C8+C16)*D8+C29+(C4*D4)</f>
        <v>33.01899999999999</v>
      </c>
      <c r="F8" s="29">
        <v>10.5</v>
      </c>
      <c r="G8" s="92">
        <f>((F1+20)/40)*F8*150/E8</f>
        <v>47.69980920076321</v>
      </c>
      <c r="H8" s="93">
        <f>G8/30</f>
        <v>1.5899936400254404</v>
      </c>
      <c r="I8" s="92">
        <f>G8*D8*24</f>
        <v>6868.772524909902</v>
      </c>
      <c r="J8" s="94">
        <f>D8*H4*24*30/I8</f>
        <v>0.6289333333333331</v>
      </c>
    </row>
    <row r="9" spans="1:10" ht="12.75">
      <c r="A9" s="2" t="s">
        <v>2</v>
      </c>
      <c r="B9" s="2" t="s">
        <v>185</v>
      </c>
      <c r="C9" s="5" t="s">
        <v>4</v>
      </c>
      <c r="D9" s="2" t="s">
        <v>6</v>
      </c>
      <c r="E9" s="5" t="s">
        <v>7</v>
      </c>
      <c r="F9" s="95" t="s">
        <v>186</v>
      </c>
      <c r="G9" s="96"/>
      <c r="H9" s="16"/>
      <c r="I9" s="15"/>
      <c r="J9" s="97"/>
    </row>
    <row r="10" spans="1:10" ht="12.75">
      <c r="A10" s="2" t="s">
        <v>219</v>
      </c>
      <c r="B10" s="67">
        <v>1</v>
      </c>
      <c r="C10" s="62"/>
      <c r="F10" s="99" t="s">
        <v>188</v>
      </c>
      <c r="G10" s="100"/>
      <c r="H10" s="13"/>
      <c r="I10" s="14"/>
      <c r="J10" s="101"/>
    </row>
    <row r="11" spans="1:10" ht="12.75">
      <c r="A11" s="2" t="s">
        <v>206</v>
      </c>
      <c r="B11" s="117">
        <f>2.2+(0.25*(B8-1))+M4</f>
        <v>2.2</v>
      </c>
      <c r="C11" s="4"/>
      <c r="D11" s="2">
        <f>60/D8</f>
        <v>10</v>
      </c>
      <c r="E11" s="3" t="s">
        <v>190</v>
      </c>
      <c r="F11" s="3"/>
      <c r="G11" s="17"/>
      <c r="J11" s="102"/>
    </row>
    <row r="12" spans="1:10" ht="12.75">
      <c r="A12" s="2" t="s">
        <v>189</v>
      </c>
      <c r="B12" s="98">
        <f>IF(C19&lt;1,B11+C19,C19)</f>
        <v>17.2</v>
      </c>
      <c r="C12" s="62" t="s">
        <v>207</v>
      </c>
      <c r="D12" s="103">
        <f>3600/D8</f>
        <v>600</v>
      </c>
      <c r="E12" s="3" t="s">
        <v>191</v>
      </c>
      <c r="J12" s="8"/>
    </row>
    <row r="13" spans="4:10" s="3" customFormat="1" ht="12.75">
      <c r="D13" s="115" t="s">
        <v>192</v>
      </c>
      <c r="F13" s="47"/>
      <c r="G13" s="105"/>
      <c r="H13" s="105"/>
      <c r="I13" s="106"/>
      <c r="J13" s="59"/>
    </row>
    <row r="14" spans="4:13" ht="12.75">
      <c r="D14"/>
      <c r="E14" s="3"/>
      <c r="F14" s="85" t="s">
        <v>193</v>
      </c>
      <c r="G14" s="18"/>
      <c r="H14" s="18" t="s">
        <v>33</v>
      </c>
      <c r="I14" s="130" t="s">
        <v>29</v>
      </c>
      <c r="J14" s="108"/>
      <c r="M14" s="2">
        <v>0.1</v>
      </c>
    </row>
    <row r="15" spans="1:13" ht="12.75">
      <c r="A15" s="6" t="s">
        <v>208</v>
      </c>
      <c r="B15" s="6" t="s">
        <v>209</v>
      </c>
      <c r="C15" s="4"/>
      <c r="E15" s="3"/>
      <c r="F15" s="20" t="s">
        <v>22</v>
      </c>
      <c r="G15" s="16">
        <v>6</v>
      </c>
      <c r="H15" s="135">
        <v>6</v>
      </c>
      <c r="I15" s="125" t="s">
        <v>30</v>
      </c>
      <c r="J15" s="90"/>
      <c r="M15" s="2">
        <v>0.15</v>
      </c>
    </row>
    <row r="16" spans="1:10" ht="12.75">
      <c r="A16" s="29">
        <v>0.15</v>
      </c>
      <c r="B16" s="29" t="s">
        <v>215</v>
      </c>
      <c r="C16" s="4">
        <f>A16*C19</f>
        <v>2.5799999999999996</v>
      </c>
      <c r="D16" s="6"/>
      <c r="E16" s="3"/>
      <c r="F16" s="20" t="s">
        <v>23</v>
      </c>
      <c r="G16" s="16">
        <v>5</v>
      </c>
      <c r="H16" s="135">
        <v>0</v>
      </c>
      <c r="I16" s="131">
        <f>8000000/H27</f>
        <v>333333.3333333333</v>
      </c>
      <c r="J16" s="90"/>
    </row>
    <row r="17" spans="1:10" ht="12.75">
      <c r="A17" s="2" t="s">
        <v>211</v>
      </c>
      <c r="B17" s="2" t="s">
        <v>270</v>
      </c>
      <c r="C17" s="5" t="s">
        <v>4</v>
      </c>
      <c r="D17" s="6"/>
      <c r="E17" s="3"/>
      <c r="F17" s="20" t="s">
        <v>269</v>
      </c>
      <c r="G17" s="16">
        <v>6</v>
      </c>
      <c r="H17" s="135">
        <v>6</v>
      </c>
      <c r="I17" s="125"/>
      <c r="J17" s="90"/>
    </row>
    <row r="18" spans="5:10" ht="12.75">
      <c r="E18" s="3"/>
      <c r="F18" s="20" t="s">
        <v>14</v>
      </c>
      <c r="G18" s="16">
        <v>2</v>
      </c>
      <c r="H18" s="135">
        <v>2</v>
      </c>
      <c r="I18" s="125"/>
      <c r="J18" s="90"/>
    </row>
    <row r="19" spans="1:15" ht="12.75">
      <c r="A19" s="2" t="s">
        <v>212</v>
      </c>
      <c r="B19" s="29">
        <v>15</v>
      </c>
      <c r="C19" s="2">
        <f>VLOOKUP(B16,L19:M20,2,FALSE)</f>
        <v>17.2</v>
      </c>
      <c r="D19" s="3" t="s">
        <v>213</v>
      </c>
      <c r="E19" s="4"/>
      <c r="F19" s="20" t="s">
        <v>10</v>
      </c>
      <c r="G19" s="16">
        <v>2</v>
      </c>
      <c r="H19" s="135">
        <v>2</v>
      </c>
      <c r="I19" s="125"/>
      <c r="J19" s="90"/>
      <c r="L19" s="2" t="s">
        <v>210</v>
      </c>
      <c r="M19" s="2">
        <f>0.5</f>
        <v>0.5</v>
      </c>
      <c r="N19" s="2" t="s">
        <v>210</v>
      </c>
      <c r="O19" s="2">
        <f>VLOOKUP(N19,L19:M20,2,FALSE)</f>
        <v>0.5</v>
      </c>
    </row>
    <row r="20" spans="2:13" ht="12.75">
      <c r="B20" s="116" t="s">
        <v>220</v>
      </c>
      <c r="E20" s="5"/>
      <c r="F20" s="20" t="s">
        <v>11</v>
      </c>
      <c r="G20" s="16">
        <v>2</v>
      </c>
      <c r="H20" s="135">
        <v>2</v>
      </c>
      <c r="I20" s="125"/>
      <c r="J20" s="90"/>
      <c r="L20" s="2" t="s">
        <v>215</v>
      </c>
      <c r="M20" s="2">
        <f>B19+B11</f>
        <v>17.2</v>
      </c>
    </row>
    <row r="21" spans="1:10" ht="12.75">
      <c r="A21" s="2" t="s">
        <v>9</v>
      </c>
      <c r="F21" s="20" t="s">
        <v>12</v>
      </c>
      <c r="G21" s="16">
        <v>2</v>
      </c>
      <c r="H21" s="135">
        <v>2</v>
      </c>
      <c r="I21" s="125"/>
      <c r="J21" s="90"/>
    </row>
    <row r="22" spans="1:10" ht="12.75">
      <c r="A22" s="2" t="s">
        <v>14</v>
      </c>
      <c r="B22" s="29">
        <v>100</v>
      </c>
      <c r="C22" s="3" t="s">
        <v>194</v>
      </c>
      <c r="F22" s="20" t="s">
        <v>24</v>
      </c>
      <c r="G22" s="16">
        <v>3</v>
      </c>
      <c r="H22" s="135">
        <v>0</v>
      </c>
      <c r="I22" s="125"/>
      <c r="J22" s="90"/>
    </row>
    <row r="23" spans="1:10" ht="12.75">
      <c r="A23" s="2" t="s">
        <v>10</v>
      </c>
      <c r="B23" s="29">
        <v>0</v>
      </c>
      <c r="C23" s="3" t="s">
        <v>195</v>
      </c>
      <c r="F23" s="20" t="s">
        <v>25</v>
      </c>
      <c r="G23" s="22">
        <v>4</v>
      </c>
      <c r="H23" s="136">
        <v>4</v>
      </c>
      <c r="I23" s="20"/>
      <c r="J23" s="138"/>
    </row>
    <row r="24" spans="1:10" s="1" customFormat="1" ht="12.75">
      <c r="A24" s="2" t="s">
        <v>11</v>
      </c>
      <c r="B24" s="29">
        <v>0</v>
      </c>
      <c r="C24" s="2"/>
      <c r="D24" s="2"/>
      <c r="E24" s="2"/>
      <c r="F24" s="20" t="s">
        <v>26</v>
      </c>
      <c r="G24" s="16">
        <v>7</v>
      </c>
      <c r="H24" s="135">
        <v>0</v>
      </c>
      <c r="I24" s="139"/>
      <c r="J24" s="21"/>
    </row>
    <row r="25" spans="1:10" ht="12.75">
      <c r="A25" s="2" t="s">
        <v>12</v>
      </c>
      <c r="B25" s="29">
        <v>0</v>
      </c>
      <c r="F25" s="20" t="s">
        <v>27</v>
      </c>
      <c r="G25" s="16">
        <v>7</v>
      </c>
      <c r="H25" s="135">
        <v>0</v>
      </c>
      <c r="I25" s="139"/>
      <c r="J25" s="21"/>
    </row>
    <row r="26" spans="1:10" ht="12.75">
      <c r="A26" s="2" t="s">
        <v>13</v>
      </c>
      <c r="B26" s="98">
        <f>SUM(B22:B25)</f>
        <v>100</v>
      </c>
      <c r="C26" s="3" t="s">
        <v>31</v>
      </c>
      <c r="F26" s="23" t="s">
        <v>27</v>
      </c>
      <c r="G26" s="13">
        <v>7</v>
      </c>
      <c r="H26" s="135">
        <v>0</v>
      </c>
      <c r="I26" s="132"/>
      <c r="J26" s="109" t="s">
        <v>181</v>
      </c>
    </row>
    <row r="27" spans="4:10" ht="12.75">
      <c r="D27" s="1"/>
      <c r="F27" s="24" t="s">
        <v>28</v>
      </c>
      <c r="G27" s="13"/>
      <c r="H27" s="137">
        <f>SUM(H15:H26)</f>
        <v>24</v>
      </c>
      <c r="I27" s="133"/>
      <c r="J27" s="111">
        <f>D8*H4*24*30/I16</f>
        <v>0.012960000000000001</v>
      </c>
    </row>
    <row r="28" spans="1:8" ht="12.75">
      <c r="A28" s="1" t="s">
        <v>0</v>
      </c>
      <c r="B28" s="1"/>
      <c r="C28" s="1"/>
      <c r="F28" s="5"/>
      <c r="G28" s="16"/>
      <c r="H28" s="16"/>
    </row>
    <row r="29" spans="1:10" ht="12.75">
      <c r="A29" s="2">
        <v>0.000135</v>
      </c>
      <c r="B29" s="2">
        <v>3600</v>
      </c>
      <c r="C29" s="2">
        <f>A29*B29</f>
        <v>0.486</v>
      </c>
      <c r="E29" s="1"/>
      <c r="F29" s="25"/>
      <c r="G29" s="27"/>
      <c r="H29" s="27"/>
      <c r="I29" s="28"/>
      <c r="J29" s="27"/>
    </row>
    <row r="30" spans="1:10" s="25" customFormat="1" ht="12.75">
      <c r="A30" s="5" t="s">
        <v>2</v>
      </c>
      <c r="B30" s="5" t="s">
        <v>5</v>
      </c>
      <c r="C30" s="5" t="s">
        <v>4</v>
      </c>
      <c r="D30" s="2"/>
      <c r="E30" s="2"/>
      <c r="F30" s="2"/>
      <c r="G30" s="7"/>
      <c r="H30" s="7"/>
      <c r="I30" s="10"/>
      <c r="J30" s="7"/>
    </row>
    <row r="32" ht="12.75">
      <c r="A32" s="1" t="s">
        <v>196</v>
      </c>
    </row>
    <row r="33" spans="1:3" ht="12.75">
      <c r="A33" s="26" t="s">
        <v>38</v>
      </c>
      <c r="B33" s="25"/>
      <c r="C33" s="25"/>
    </row>
    <row r="34" spans="1:2" ht="12.75">
      <c r="A34" s="37" t="s">
        <v>43</v>
      </c>
      <c r="B34" s="3"/>
    </row>
    <row r="35" spans="1:5" ht="12.75">
      <c r="A35" s="26" t="s">
        <v>39</v>
      </c>
      <c r="E35" s="25"/>
    </row>
    <row r="36" ht="12.75">
      <c r="A36" s="26" t="s">
        <v>221</v>
      </c>
    </row>
    <row r="37" ht="12.75">
      <c r="A37" s="26" t="s">
        <v>271</v>
      </c>
    </row>
  </sheetData>
  <sheetProtection sheet="1" objects="1" scenarios="1" selectLockedCells="1"/>
  <dataValidations count="2">
    <dataValidation type="list" allowBlank="1" showInputMessage="1" showErrorMessage="1" sqref="A16">
      <formula1>$M$14:$M$15</formula1>
    </dataValidation>
    <dataValidation type="list" allowBlank="1" showInputMessage="1" showErrorMessage="1" sqref="N19:N20 B16">
      <formula1>$L$19:$L$20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J31"/>
  <sheetViews>
    <sheetView workbookViewId="0" topLeftCell="A1">
      <selection activeCell="B4" sqref="B4"/>
    </sheetView>
  </sheetViews>
  <sheetFormatPr defaultColWidth="9.140625" defaultRowHeight="12.75"/>
  <cols>
    <col min="1" max="1" width="15.57421875" style="2" customWidth="1"/>
    <col min="2" max="2" width="20.140625" style="2" customWidth="1"/>
    <col min="3" max="3" width="15.57421875" style="2" customWidth="1"/>
    <col min="4" max="4" width="15.8515625" style="2" customWidth="1"/>
    <col min="5" max="5" width="20.00390625" style="2" customWidth="1"/>
    <col min="6" max="6" width="14.28125" style="2" customWidth="1"/>
    <col min="7" max="8" width="8.28125" style="7" customWidth="1"/>
    <col min="9" max="9" width="9.2812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222</v>
      </c>
      <c r="C1" s="35" t="s">
        <v>35</v>
      </c>
      <c r="E1" s="2" t="s">
        <v>41</v>
      </c>
      <c r="F1" s="29">
        <v>20</v>
      </c>
      <c r="G1" s="3" t="s">
        <v>37</v>
      </c>
      <c r="H1" s="2"/>
      <c r="I1" s="2"/>
      <c r="J1" s="2"/>
    </row>
    <row r="2" spans="1:10" ht="12.75">
      <c r="A2" s="3" t="s">
        <v>34</v>
      </c>
      <c r="B2" s="5"/>
      <c r="C2" s="78" t="s">
        <v>139</v>
      </c>
      <c r="E2" s="6" t="s">
        <v>36</v>
      </c>
      <c r="G2" s="38" t="s">
        <v>40</v>
      </c>
      <c r="H2" s="2"/>
      <c r="I2" s="2"/>
      <c r="J2" s="2"/>
    </row>
    <row r="3" spans="1:10" ht="12.75">
      <c r="A3" s="3"/>
      <c r="B3" s="5"/>
      <c r="C3" s="81"/>
      <c r="E3" s="6"/>
      <c r="G3" s="38"/>
      <c r="H3" s="2"/>
      <c r="I3" s="2"/>
      <c r="J3" s="2"/>
    </row>
    <row r="4" spans="1:10" ht="12.75">
      <c r="A4" s="2" t="s">
        <v>44</v>
      </c>
      <c r="B4" s="29">
        <v>10</v>
      </c>
      <c r="C4" s="4">
        <f>0.0013*0.5*B4</f>
        <v>0.0065</v>
      </c>
      <c r="D4" s="29">
        <v>1</v>
      </c>
      <c r="E4" s="6"/>
      <c r="F4" s="82"/>
      <c r="G4" s="51" t="s">
        <v>176</v>
      </c>
      <c r="H4" s="83">
        <v>9</v>
      </c>
      <c r="I4" s="84" t="s">
        <v>177</v>
      </c>
      <c r="J4" s="82"/>
    </row>
    <row r="5" spans="2:10" ht="12.75">
      <c r="B5" s="2" t="s">
        <v>45</v>
      </c>
      <c r="C5" s="5" t="s">
        <v>4</v>
      </c>
      <c r="D5" s="2" t="s">
        <v>218</v>
      </c>
      <c r="F5" s="5"/>
      <c r="G5" s="16"/>
      <c r="H5" s="16"/>
      <c r="I5" s="15"/>
      <c r="J5" s="16"/>
    </row>
    <row r="6" spans="1:10" ht="12.75">
      <c r="A6" s="3" t="s">
        <v>178</v>
      </c>
      <c r="D6" s="6"/>
      <c r="F6" s="85" t="s">
        <v>179</v>
      </c>
      <c r="G6" s="86" t="s">
        <v>180</v>
      </c>
      <c r="H6" s="87"/>
      <c r="I6" s="87" t="s">
        <v>20</v>
      </c>
      <c r="J6" s="88" t="s">
        <v>181</v>
      </c>
    </row>
    <row r="7" spans="2:10" s="3" customFormat="1" ht="12.75">
      <c r="B7" s="2" t="s">
        <v>182</v>
      </c>
      <c r="F7" s="89" t="s">
        <v>15</v>
      </c>
      <c r="G7" s="16" t="s">
        <v>183</v>
      </c>
      <c r="H7" s="16" t="s">
        <v>184</v>
      </c>
      <c r="I7" s="16"/>
      <c r="J7" s="90"/>
    </row>
    <row r="8" spans="1:10" ht="12.75">
      <c r="A8" s="2">
        <v>0.05</v>
      </c>
      <c r="B8" s="91">
        <v>1</v>
      </c>
      <c r="C8" s="4">
        <f>(A8+(B19/1000))*B10</f>
        <v>0.11000000000000001</v>
      </c>
      <c r="D8" s="29">
        <v>6</v>
      </c>
      <c r="E8" s="4">
        <f>C8*D8+C22+(C4*D4)</f>
        <v>0.7745000000000001</v>
      </c>
      <c r="F8" s="29">
        <v>12.2</v>
      </c>
      <c r="G8" s="92">
        <f>((F1+20)/40)*F8*150/E8</f>
        <v>2362.8147191736603</v>
      </c>
      <c r="H8" s="93">
        <f>G8/30</f>
        <v>78.76049063912201</v>
      </c>
      <c r="I8" s="92">
        <f>G8*D8*24</f>
        <v>340245.3195610071</v>
      </c>
      <c r="J8" s="94">
        <f>D8*H4*24*30/I8</f>
        <v>0.1142704918032787</v>
      </c>
    </row>
    <row r="9" spans="1:10" ht="12.75">
      <c r="A9" s="2" t="s">
        <v>2</v>
      </c>
      <c r="B9" s="2" t="s">
        <v>185</v>
      </c>
      <c r="C9" s="5" t="s">
        <v>4</v>
      </c>
      <c r="D9" s="2" t="s">
        <v>6</v>
      </c>
      <c r="E9" s="5" t="s">
        <v>7</v>
      </c>
      <c r="F9" s="95" t="s">
        <v>186</v>
      </c>
      <c r="G9" s="96"/>
      <c r="H9" s="16"/>
      <c r="I9" s="15"/>
      <c r="J9" s="97"/>
    </row>
    <row r="10" spans="2:10" ht="12.75">
      <c r="B10" s="98">
        <f>2.2+(0.25*(B8-1))</f>
        <v>2.2</v>
      </c>
      <c r="C10" s="4"/>
      <c r="E10" s="2" t="s">
        <v>187</v>
      </c>
      <c r="F10" s="99" t="s">
        <v>188</v>
      </c>
      <c r="G10" s="100"/>
      <c r="H10" s="13"/>
      <c r="I10" s="14"/>
      <c r="J10" s="101"/>
    </row>
    <row r="11" spans="2:10" ht="12.75">
      <c r="B11" s="2" t="s">
        <v>189</v>
      </c>
      <c r="C11" s="4"/>
      <c r="D11" s="2">
        <f>60/D8</f>
        <v>10</v>
      </c>
      <c r="E11" s="3" t="s">
        <v>190</v>
      </c>
      <c r="F11" s="3"/>
      <c r="G11" s="17"/>
      <c r="J11" s="102"/>
    </row>
    <row r="12" spans="3:10" ht="12.75">
      <c r="C12" s="4"/>
      <c r="D12" s="103">
        <f>3600/D8</f>
        <v>600</v>
      </c>
      <c r="E12" s="3" t="s">
        <v>191</v>
      </c>
      <c r="J12" s="8"/>
    </row>
    <row r="13" spans="1:10" s="3" customFormat="1" ht="12.75">
      <c r="A13" s="2"/>
      <c r="B13" s="2"/>
      <c r="C13" s="4"/>
      <c r="D13" s="104" t="s">
        <v>192</v>
      </c>
      <c r="F13" s="47"/>
      <c r="G13" s="105"/>
      <c r="H13" s="105"/>
      <c r="I13" s="106"/>
      <c r="J13" s="59"/>
    </row>
    <row r="14" spans="1:10" ht="12.75">
      <c r="A14" s="2" t="s">
        <v>9</v>
      </c>
      <c r="E14" s="4"/>
      <c r="F14" s="85" t="s">
        <v>193</v>
      </c>
      <c r="G14" s="18"/>
      <c r="H14" s="107" t="s">
        <v>33</v>
      </c>
      <c r="I14" s="130" t="s">
        <v>29</v>
      </c>
      <c r="J14" s="108"/>
    </row>
    <row r="15" spans="1:10" ht="12.75">
      <c r="A15" s="2" t="s">
        <v>14</v>
      </c>
      <c r="B15" s="29">
        <v>0</v>
      </c>
      <c r="C15" s="3" t="s">
        <v>194</v>
      </c>
      <c r="E15" s="5"/>
      <c r="F15" s="20" t="s">
        <v>22</v>
      </c>
      <c r="G15" s="16">
        <v>6</v>
      </c>
      <c r="H15" s="30">
        <v>6</v>
      </c>
      <c r="I15" s="125" t="s">
        <v>30</v>
      </c>
      <c r="J15" s="90"/>
    </row>
    <row r="16" spans="1:10" ht="12.75">
      <c r="A16" s="2" t="s">
        <v>10</v>
      </c>
      <c r="B16" s="29">
        <v>0</v>
      </c>
      <c r="C16" s="3" t="s">
        <v>195</v>
      </c>
      <c r="F16" s="20" t="s">
        <v>14</v>
      </c>
      <c r="G16" s="16">
        <v>2</v>
      </c>
      <c r="H16" s="30">
        <v>0</v>
      </c>
      <c r="I16" s="131">
        <f>8000000/H25</f>
        <v>800000</v>
      </c>
      <c r="J16" s="90"/>
    </row>
    <row r="17" spans="1:10" ht="12.75">
      <c r="A17" s="2" t="s">
        <v>11</v>
      </c>
      <c r="B17" s="29">
        <v>0</v>
      </c>
      <c r="F17" s="20" t="s">
        <v>10</v>
      </c>
      <c r="G17" s="16">
        <v>2</v>
      </c>
      <c r="H17" s="30">
        <v>0</v>
      </c>
      <c r="I17" s="125"/>
      <c r="J17" s="90"/>
    </row>
    <row r="18" spans="1:10" ht="12.75">
      <c r="A18" s="2" t="s">
        <v>12</v>
      </c>
      <c r="B18" s="29">
        <v>0</v>
      </c>
      <c r="F18" s="20" t="s">
        <v>11</v>
      </c>
      <c r="G18" s="16">
        <v>2</v>
      </c>
      <c r="H18" s="30">
        <v>0</v>
      </c>
      <c r="I18" s="125"/>
      <c r="J18" s="90"/>
    </row>
    <row r="19" spans="1:10" ht="12.75">
      <c r="A19" s="2" t="s">
        <v>13</v>
      </c>
      <c r="B19" s="98">
        <f>SUM(B15:B18)</f>
        <v>0</v>
      </c>
      <c r="C19" s="3" t="s">
        <v>31</v>
      </c>
      <c r="F19" s="20" t="s">
        <v>12</v>
      </c>
      <c r="G19" s="16">
        <v>2</v>
      </c>
      <c r="H19" s="30">
        <v>0</v>
      </c>
      <c r="I19" s="125"/>
      <c r="J19" s="90"/>
    </row>
    <row r="20" spans="4:10" ht="12.75">
      <c r="D20" s="1"/>
      <c r="F20" s="20" t="s">
        <v>24</v>
      </c>
      <c r="G20" s="16">
        <v>3</v>
      </c>
      <c r="H20" s="30">
        <v>0</v>
      </c>
      <c r="I20" s="125"/>
      <c r="J20" s="90"/>
    </row>
    <row r="21" spans="1:10" ht="12.75">
      <c r="A21" s="1" t="s">
        <v>0</v>
      </c>
      <c r="B21" s="1"/>
      <c r="C21" s="1"/>
      <c r="F21" s="20" t="s">
        <v>25</v>
      </c>
      <c r="G21" s="22">
        <v>4</v>
      </c>
      <c r="H21" s="31">
        <v>4</v>
      </c>
      <c r="I21" s="125"/>
      <c r="J21" s="90"/>
    </row>
    <row r="22" spans="1:10" ht="12.75">
      <c r="A22" s="2">
        <v>3E-05</v>
      </c>
      <c r="B22" s="2">
        <v>3600</v>
      </c>
      <c r="C22" s="2">
        <f>A22*B22</f>
        <v>0.108</v>
      </c>
      <c r="F22" s="20" t="s">
        <v>26</v>
      </c>
      <c r="G22" s="16">
        <v>7</v>
      </c>
      <c r="H22" s="30">
        <v>0</v>
      </c>
      <c r="I22" s="125"/>
      <c r="J22" s="90"/>
    </row>
    <row r="23" spans="1:10" ht="12.75">
      <c r="A23" s="5" t="s">
        <v>2</v>
      </c>
      <c r="B23" s="5" t="s">
        <v>5</v>
      </c>
      <c r="C23" s="5" t="s">
        <v>4</v>
      </c>
      <c r="F23" s="20" t="s">
        <v>27</v>
      </c>
      <c r="G23" s="16">
        <v>7</v>
      </c>
      <c r="H23" s="30">
        <v>0</v>
      </c>
      <c r="I23" s="125"/>
      <c r="J23" s="90"/>
    </row>
    <row r="24" spans="1:10" s="1" customFormat="1" ht="12.75">
      <c r="A24" s="2"/>
      <c r="B24" s="2"/>
      <c r="C24" s="2"/>
      <c r="D24" s="2"/>
      <c r="F24" s="23" t="s">
        <v>27</v>
      </c>
      <c r="G24" s="13">
        <v>7</v>
      </c>
      <c r="H24" s="30">
        <v>0</v>
      </c>
      <c r="I24" s="132"/>
      <c r="J24" s="109" t="s">
        <v>181</v>
      </c>
    </row>
    <row r="25" spans="1:10" ht="12.75">
      <c r="A25" s="1" t="s">
        <v>196</v>
      </c>
      <c r="F25" s="24" t="s">
        <v>28</v>
      </c>
      <c r="G25" s="13"/>
      <c r="H25" s="110">
        <f>SUM(H15:H24)</f>
        <v>10</v>
      </c>
      <c r="I25" s="133"/>
      <c r="J25" s="111">
        <f>D8*H4*24*30/I16</f>
        <v>0.0486</v>
      </c>
    </row>
    <row r="26" spans="1:10" ht="12.75">
      <c r="A26" s="3"/>
      <c r="F26" s="5"/>
      <c r="G26" s="16"/>
      <c r="H26" s="16"/>
      <c r="I26" s="15"/>
      <c r="J26" s="16"/>
    </row>
    <row r="27" spans="1:8" ht="12.75">
      <c r="A27" s="26" t="s">
        <v>38</v>
      </c>
      <c r="B27" s="25"/>
      <c r="C27" s="25"/>
      <c r="F27" s="25"/>
      <c r="G27" s="27"/>
      <c r="H27" s="27"/>
    </row>
    <row r="28" spans="1:2" ht="12.75">
      <c r="A28" s="37" t="s">
        <v>43</v>
      </c>
      <c r="B28" s="3"/>
    </row>
    <row r="29" ht="12.75">
      <c r="A29" s="26" t="s">
        <v>39</v>
      </c>
    </row>
    <row r="30" spans="1:10" s="25" customFormat="1" ht="12.75">
      <c r="A30" s="26" t="s">
        <v>197</v>
      </c>
      <c r="B30" s="2"/>
      <c r="C30" s="2"/>
      <c r="D30" s="2"/>
      <c r="F30" s="2"/>
      <c r="G30" s="7"/>
      <c r="H30" s="7"/>
      <c r="I30" s="28"/>
      <c r="J30" s="27"/>
    </row>
    <row r="31" ht="12.75">
      <c r="A31" s="25"/>
    </row>
  </sheetData>
  <sheetProtection sheet="1" objects="1" scenarios="1" selectLockedCells="1"/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O32"/>
  <sheetViews>
    <sheetView workbookViewId="0" topLeftCell="A1">
      <selection activeCell="B4" sqref="B4"/>
    </sheetView>
  </sheetViews>
  <sheetFormatPr defaultColWidth="9.140625" defaultRowHeight="12.75"/>
  <cols>
    <col min="1" max="1" width="15.57421875" style="2" customWidth="1"/>
    <col min="2" max="2" width="20.140625" style="2" customWidth="1"/>
    <col min="3" max="3" width="15.57421875" style="2" customWidth="1"/>
    <col min="4" max="4" width="15.8515625" style="2" customWidth="1"/>
    <col min="5" max="5" width="20.00390625" style="2" customWidth="1"/>
    <col min="6" max="6" width="14.28125" style="2" customWidth="1"/>
    <col min="7" max="8" width="8.28125" style="7" customWidth="1"/>
    <col min="9" max="9" width="9.2812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222</v>
      </c>
      <c r="C1" s="35" t="s">
        <v>42</v>
      </c>
      <c r="E1" s="2" t="s">
        <v>41</v>
      </c>
      <c r="F1" s="29">
        <v>20</v>
      </c>
      <c r="G1" s="3" t="s">
        <v>37</v>
      </c>
      <c r="H1" s="2"/>
      <c r="I1" s="2"/>
      <c r="J1" s="2"/>
    </row>
    <row r="2" spans="1:10" ht="12.75">
      <c r="A2" s="3" t="s">
        <v>34</v>
      </c>
      <c r="B2" s="5"/>
      <c r="C2" s="78" t="s">
        <v>139</v>
      </c>
      <c r="E2" s="6" t="s">
        <v>36</v>
      </c>
      <c r="G2" s="38" t="s">
        <v>40</v>
      </c>
      <c r="H2" s="2"/>
      <c r="I2" s="2"/>
      <c r="J2" s="2"/>
    </row>
    <row r="3" spans="1:15" ht="12.75">
      <c r="A3" s="112"/>
      <c r="B3" s="5"/>
      <c r="C3" s="81"/>
      <c r="E3" s="6"/>
      <c r="G3" s="38"/>
      <c r="H3" s="2"/>
      <c r="I3" s="2"/>
      <c r="J3" s="2"/>
      <c r="M3" s="63"/>
      <c r="N3" s="63"/>
      <c r="O3" s="63"/>
    </row>
    <row r="4" spans="1:15" ht="12.75">
      <c r="A4" s="2" t="s">
        <v>44</v>
      </c>
      <c r="B4" s="29">
        <v>10</v>
      </c>
      <c r="C4" s="4">
        <f>0.0013*0.5*B4</f>
        <v>0.0065</v>
      </c>
      <c r="D4" s="29">
        <v>1</v>
      </c>
      <c r="F4" s="51"/>
      <c r="G4" s="51" t="s">
        <v>176</v>
      </c>
      <c r="H4" s="83">
        <v>9</v>
      </c>
      <c r="I4" s="84" t="s">
        <v>177</v>
      </c>
      <c r="J4" s="82"/>
      <c r="M4" s="63">
        <f>IF(B10&lt;1,0.3,B10)</f>
        <v>1</v>
      </c>
      <c r="N4" s="63"/>
      <c r="O4" s="63"/>
    </row>
    <row r="5" spans="2:15" ht="12.75">
      <c r="B5" s="2" t="s">
        <v>45</v>
      </c>
      <c r="C5" s="5" t="s">
        <v>4</v>
      </c>
      <c r="D5" s="2" t="s">
        <v>218</v>
      </c>
      <c r="G5" s="16"/>
      <c r="H5" s="16"/>
      <c r="I5" s="15"/>
      <c r="J5" s="16"/>
      <c r="M5" s="63"/>
      <c r="N5" s="63"/>
      <c r="O5" s="63"/>
    </row>
    <row r="6" spans="1:15" ht="12.75">
      <c r="A6" s="3" t="s">
        <v>198</v>
      </c>
      <c r="D6" s="6" t="s">
        <v>8</v>
      </c>
      <c r="F6" s="85" t="s">
        <v>179</v>
      </c>
      <c r="G6" s="86" t="s">
        <v>180</v>
      </c>
      <c r="H6" s="87"/>
      <c r="I6" s="87" t="s">
        <v>20</v>
      </c>
      <c r="J6" s="88" t="s">
        <v>181</v>
      </c>
      <c r="M6" s="63"/>
      <c r="N6" s="63"/>
      <c r="O6" s="63"/>
    </row>
    <row r="7" spans="2:15" s="3" customFormat="1" ht="12.75">
      <c r="B7" s="2" t="s">
        <v>182</v>
      </c>
      <c r="F7" s="89" t="s">
        <v>15</v>
      </c>
      <c r="G7" s="16" t="s">
        <v>183</v>
      </c>
      <c r="H7" s="16" t="s">
        <v>184</v>
      </c>
      <c r="I7" s="16"/>
      <c r="J7" s="90"/>
      <c r="M7" s="113"/>
      <c r="N7" s="113"/>
      <c r="O7" s="113"/>
    </row>
    <row r="8" spans="1:15" ht="12.75">
      <c r="A8" s="2">
        <v>0.065</v>
      </c>
      <c r="B8" s="91">
        <v>1</v>
      </c>
      <c r="C8" s="4">
        <f>(A8+(B20/1000))*B12</f>
        <v>0.20800000000000002</v>
      </c>
      <c r="D8" s="29">
        <v>20</v>
      </c>
      <c r="E8" s="4">
        <f>C8*D8+C23+(C4*D4)</f>
        <v>4.2745</v>
      </c>
      <c r="F8" s="29">
        <v>12.2</v>
      </c>
      <c r="G8" s="92">
        <f>((F1+20)/40)*F8*150/E8</f>
        <v>428.1202479822202</v>
      </c>
      <c r="H8" s="93">
        <f>G8/30</f>
        <v>14.270674932740672</v>
      </c>
      <c r="I8" s="92">
        <f>G8*D8*24</f>
        <v>205497.7190314657</v>
      </c>
      <c r="J8" s="94">
        <f>D8*H4*24*30/I8</f>
        <v>0.6306639344262294</v>
      </c>
      <c r="M8" s="63"/>
      <c r="N8" s="63"/>
      <c r="O8" s="63"/>
    </row>
    <row r="9" spans="1:10" ht="12.75">
      <c r="A9" s="2" t="s">
        <v>2</v>
      </c>
      <c r="B9" s="2" t="s">
        <v>185</v>
      </c>
      <c r="C9" s="5" t="s">
        <v>4</v>
      </c>
      <c r="D9" s="2" t="s">
        <v>6</v>
      </c>
      <c r="E9" s="5" t="s">
        <v>7</v>
      </c>
      <c r="F9" s="95" t="s">
        <v>186</v>
      </c>
      <c r="G9" s="96"/>
      <c r="H9" s="16"/>
      <c r="I9" s="15"/>
      <c r="J9" s="97"/>
    </row>
    <row r="10" spans="1:10" ht="12.75">
      <c r="A10" s="2" t="s">
        <v>199</v>
      </c>
      <c r="B10" s="29">
        <v>1</v>
      </c>
      <c r="C10" s="62" t="s">
        <v>200</v>
      </c>
      <c r="E10" s="2" t="s">
        <v>187</v>
      </c>
      <c r="F10" s="99" t="s">
        <v>188</v>
      </c>
      <c r="G10" s="100"/>
      <c r="H10" s="13"/>
      <c r="I10" s="14"/>
      <c r="J10" s="101"/>
    </row>
    <row r="11" spans="2:10" ht="12.75">
      <c r="B11" s="2" t="s">
        <v>201</v>
      </c>
      <c r="C11" s="4"/>
      <c r="D11" s="2">
        <f>60/D8</f>
        <v>3</v>
      </c>
      <c r="E11" s="3" t="s">
        <v>190</v>
      </c>
      <c r="F11" s="3"/>
      <c r="G11" s="17"/>
      <c r="J11" s="102"/>
    </row>
    <row r="12" spans="2:10" ht="12.75">
      <c r="B12" s="98">
        <f>2.2+(0.25*(B8-1))+M4</f>
        <v>3.2</v>
      </c>
      <c r="C12" s="4"/>
      <c r="D12" s="103">
        <f>3600/D8</f>
        <v>180</v>
      </c>
      <c r="E12" s="3" t="s">
        <v>191</v>
      </c>
      <c r="J12" s="8"/>
    </row>
    <row r="13" spans="1:4" s="3" customFormat="1" ht="12.75">
      <c r="A13" s="2"/>
      <c r="B13" s="2" t="s">
        <v>189</v>
      </c>
      <c r="C13" s="4"/>
      <c r="D13" s="104" t="s">
        <v>192</v>
      </c>
    </row>
    <row r="14" spans="5:10" ht="12.75">
      <c r="E14" s="4"/>
      <c r="F14" s="85" t="s">
        <v>193</v>
      </c>
      <c r="G14" s="18"/>
      <c r="H14" s="107" t="s">
        <v>33</v>
      </c>
      <c r="I14" s="130" t="s">
        <v>29</v>
      </c>
      <c r="J14" s="108"/>
    </row>
    <row r="15" spans="1:10" ht="12.75">
      <c r="A15" s="2" t="s">
        <v>9</v>
      </c>
      <c r="E15" s="5"/>
      <c r="F15" s="20" t="s">
        <v>22</v>
      </c>
      <c r="G15" s="16">
        <v>6</v>
      </c>
      <c r="H15" s="30">
        <v>6</v>
      </c>
      <c r="I15" s="125" t="s">
        <v>30</v>
      </c>
      <c r="J15" s="90"/>
    </row>
    <row r="16" spans="1:10" ht="12.75">
      <c r="A16" s="2" t="s">
        <v>14</v>
      </c>
      <c r="B16" s="29">
        <v>0</v>
      </c>
      <c r="C16" s="3" t="s">
        <v>194</v>
      </c>
      <c r="F16" s="20" t="s">
        <v>23</v>
      </c>
      <c r="G16" s="16">
        <v>5</v>
      </c>
      <c r="H16" s="30">
        <v>0</v>
      </c>
      <c r="I16" s="134">
        <f>8000000/H27</f>
        <v>500000</v>
      </c>
      <c r="J16" s="90"/>
    </row>
    <row r="17" spans="1:10" ht="12.75">
      <c r="A17" s="2" t="s">
        <v>10</v>
      </c>
      <c r="B17" s="29">
        <v>0</v>
      </c>
      <c r="C17" s="3" t="s">
        <v>195</v>
      </c>
      <c r="F17" s="20" t="s">
        <v>269</v>
      </c>
      <c r="G17" s="16">
        <v>6</v>
      </c>
      <c r="H17" s="30">
        <v>6</v>
      </c>
      <c r="I17" s="125"/>
      <c r="J17" s="90"/>
    </row>
    <row r="18" spans="1:10" ht="12.75">
      <c r="A18" s="2" t="s">
        <v>11</v>
      </c>
      <c r="B18" s="29">
        <v>0</v>
      </c>
      <c r="F18" s="20" t="s">
        <v>14</v>
      </c>
      <c r="G18" s="16">
        <v>2</v>
      </c>
      <c r="H18" s="30">
        <v>0</v>
      </c>
      <c r="I18" s="125"/>
      <c r="J18" s="90"/>
    </row>
    <row r="19" spans="1:10" ht="12.75">
      <c r="A19" s="2" t="s">
        <v>12</v>
      </c>
      <c r="B19" s="29">
        <v>0</v>
      </c>
      <c r="F19" s="20" t="s">
        <v>10</v>
      </c>
      <c r="G19" s="16">
        <v>2</v>
      </c>
      <c r="H19" s="30">
        <v>0</v>
      </c>
      <c r="I19" s="125"/>
      <c r="J19" s="90"/>
    </row>
    <row r="20" spans="1:10" ht="12.75">
      <c r="A20" s="2" t="s">
        <v>13</v>
      </c>
      <c r="B20" s="98">
        <f>SUM(B16:B19)</f>
        <v>0</v>
      </c>
      <c r="C20" s="3" t="s">
        <v>31</v>
      </c>
      <c r="F20" s="20" t="s">
        <v>11</v>
      </c>
      <c r="G20" s="16">
        <v>2</v>
      </c>
      <c r="H20" s="30">
        <v>0</v>
      </c>
      <c r="I20" s="125"/>
      <c r="J20" s="90"/>
    </row>
    <row r="21" spans="4:10" ht="12.75">
      <c r="D21" s="1"/>
      <c r="F21" s="20" t="s">
        <v>12</v>
      </c>
      <c r="G21" s="16">
        <v>2</v>
      </c>
      <c r="H21" s="30">
        <v>0</v>
      </c>
      <c r="I21" s="125"/>
      <c r="J21" s="90"/>
    </row>
    <row r="22" spans="1:10" ht="12.75">
      <c r="A22" s="1" t="s">
        <v>0</v>
      </c>
      <c r="B22" s="1"/>
      <c r="C22" s="1"/>
      <c r="F22" s="20" t="s">
        <v>24</v>
      </c>
      <c r="G22" s="16">
        <v>3</v>
      </c>
      <c r="H22" s="30">
        <v>0</v>
      </c>
      <c r="I22" s="125"/>
      <c r="J22" s="90"/>
    </row>
    <row r="23" spans="1:10" ht="12.75">
      <c r="A23" s="2">
        <v>3E-05</v>
      </c>
      <c r="B23" s="2">
        <v>3600</v>
      </c>
      <c r="C23" s="2">
        <f>A23*B23</f>
        <v>0.108</v>
      </c>
      <c r="F23" s="20" t="s">
        <v>25</v>
      </c>
      <c r="G23" s="22">
        <v>4</v>
      </c>
      <c r="H23" s="31">
        <v>4</v>
      </c>
      <c r="I23" s="125"/>
      <c r="J23" s="90"/>
    </row>
    <row r="24" spans="1:10" s="1" customFormat="1" ht="12.75">
      <c r="A24" s="5" t="s">
        <v>2</v>
      </c>
      <c r="B24" s="5" t="s">
        <v>5</v>
      </c>
      <c r="C24" s="5" t="s">
        <v>4</v>
      </c>
      <c r="D24" s="2"/>
      <c r="F24" s="20" t="s">
        <v>26</v>
      </c>
      <c r="G24" s="16">
        <v>7</v>
      </c>
      <c r="H24" s="30">
        <v>0</v>
      </c>
      <c r="I24" s="125"/>
      <c r="J24" s="90"/>
    </row>
    <row r="25" spans="6:10" ht="12.75">
      <c r="F25" s="20" t="s">
        <v>27</v>
      </c>
      <c r="G25" s="16">
        <v>7</v>
      </c>
      <c r="H25" s="30">
        <v>0</v>
      </c>
      <c r="I25" s="125"/>
      <c r="J25" s="90"/>
    </row>
    <row r="26" spans="1:10" ht="12.75">
      <c r="A26" s="3"/>
      <c r="F26" s="23" t="s">
        <v>27</v>
      </c>
      <c r="G26" s="13">
        <v>7</v>
      </c>
      <c r="H26" s="30">
        <v>0</v>
      </c>
      <c r="I26" s="132"/>
      <c r="J26" s="109" t="s">
        <v>181</v>
      </c>
    </row>
    <row r="27" spans="2:10" ht="12.75">
      <c r="B27" s="25"/>
      <c r="C27" s="25"/>
      <c r="F27" s="24" t="s">
        <v>28</v>
      </c>
      <c r="G27" s="13"/>
      <c r="H27" s="110">
        <f>SUM(H15:H26)</f>
        <v>16</v>
      </c>
      <c r="I27" s="133"/>
      <c r="J27" s="111">
        <f>D8*H4*24*30/I16</f>
        <v>0.2592</v>
      </c>
    </row>
    <row r="28" ht="12.75">
      <c r="B28" s="3"/>
    </row>
    <row r="29" spans="1:10" ht="12.75">
      <c r="A29" s="26" t="s">
        <v>38</v>
      </c>
      <c r="F29" s="25"/>
      <c r="G29" s="25"/>
      <c r="H29" s="25"/>
      <c r="I29" s="25"/>
      <c r="J29" s="25"/>
    </row>
    <row r="30" spans="1:10" s="25" customFormat="1" ht="12.75">
      <c r="A30" s="37" t="s">
        <v>202</v>
      </c>
      <c r="B30" s="2"/>
      <c r="C30" s="2"/>
      <c r="D30" s="2"/>
      <c r="F30" s="2"/>
      <c r="G30" s="7"/>
      <c r="H30" s="7"/>
      <c r="I30" s="10"/>
      <c r="J30" s="7"/>
    </row>
    <row r="31" ht="12.75">
      <c r="A31" s="26" t="s">
        <v>39</v>
      </c>
    </row>
    <row r="32" spans="1:10" ht="12.75">
      <c r="A32" s="26" t="s">
        <v>197</v>
      </c>
      <c r="I32" s="28"/>
      <c r="J32" s="27"/>
    </row>
  </sheetData>
  <sheetProtection sheet="1" objects="1" scenarios="1" selectLockedCells="1"/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O35"/>
  <sheetViews>
    <sheetView workbookViewId="0" topLeftCell="A1">
      <selection activeCell="B4" sqref="B4"/>
    </sheetView>
  </sheetViews>
  <sheetFormatPr defaultColWidth="9.140625" defaultRowHeight="12.75"/>
  <cols>
    <col min="1" max="1" width="17.28125" style="2" customWidth="1"/>
    <col min="2" max="2" width="20.140625" style="2" customWidth="1"/>
    <col min="3" max="3" width="16.8515625" style="2" customWidth="1"/>
    <col min="4" max="4" width="15.8515625" style="2" customWidth="1"/>
    <col min="5" max="5" width="19.28125" style="2" customWidth="1"/>
    <col min="6" max="6" width="14.28125" style="2" customWidth="1"/>
    <col min="7" max="8" width="8.28125" style="7" customWidth="1"/>
    <col min="9" max="9" width="9.2812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222</v>
      </c>
      <c r="C1" s="35" t="s">
        <v>203</v>
      </c>
      <c r="E1" s="2" t="s">
        <v>41</v>
      </c>
      <c r="F1" s="29">
        <v>20</v>
      </c>
      <c r="G1" s="3" t="s">
        <v>37</v>
      </c>
      <c r="H1" s="2"/>
      <c r="I1" s="2"/>
      <c r="J1" s="2"/>
    </row>
    <row r="2" spans="1:10" ht="12.75">
      <c r="A2" s="3" t="s">
        <v>34</v>
      </c>
      <c r="B2" s="5"/>
      <c r="C2" s="78" t="s">
        <v>139</v>
      </c>
      <c r="E2" s="6" t="s">
        <v>36</v>
      </c>
      <c r="G2" s="38" t="s">
        <v>40</v>
      </c>
      <c r="H2" s="2"/>
      <c r="I2" s="2"/>
      <c r="J2" s="2"/>
    </row>
    <row r="3" spans="1:10" ht="12.75">
      <c r="A3" s="3"/>
      <c r="B3" s="5"/>
      <c r="C3" s="81"/>
      <c r="E3" s="6"/>
      <c r="G3" s="38"/>
      <c r="H3" s="2"/>
      <c r="I3" s="2"/>
      <c r="J3" s="2"/>
    </row>
    <row r="4" spans="1:10" ht="12.75">
      <c r="A4" s="2" t="s">
        <v>44</v>
      </c>
      <c r="B4" s="29">
        <v>10</v>
      </c>
      <c r="C4" s="4">
        <f>0.0013*0.5*B4</f>
        <v>0.0065</v>
      </c>
      <c r="D4" s="29">
        <v>1</v>
      </c>
      <c r="E4" s="6"/>
      <c r="F4" s="82"/>
      <c r="G4" s="51" t="s">
        <v>176</v>
      </c>
      <c r="H4" s="83">
        <v>9</v>
      </c>
      <c r="I4" s="84" t="s">
        <v>177</v>
      </c>
      <c r="J4" s="82"/>
    </row>
    <row r="5" spans="2:10" ht="12.75">
      <c r="B5" s="2" t="s">
        <v>45</v>
      </c>
      <c r="C5" s="5" t="s">
        <v>4</v>
      </c>
      <c r="D5" s="2" t="s">
        <v>218</v>
      </c>
      <c r="F5" s="5"/>
      <c r="G5" s="16"/>
      <c r="H5" s="16"/>
      <c r="I5" s="15"/>
      <c r="J5" s="16"/>
    </row>
    <row r="6" spans="1:10" ht="12.75">
      <c r="A6" s="3" t="s">
        <v>204</v>
      </c>
      <c r="D6" s="6"/>
      <c r="F6" s="85" t="s">
        <v>179</v>
      </c>
      <c r="G6" s="86" t="s">
        <v>180</v>
      </c>
      <c r="H6" s="87"/>
      <c r="I6" s="87" t="s">
        <v>20</v>
      </c>
      <c r="J6" s="88" t="s">
        <v>181</v>
      </c>
    </row>
    <row r="7" spans="2:10" s="3" customFormat="1" ht="12.75">
      <c r="B7" s="2" t="s">
        <v>182</v>
      </c>
      <c r="E7" s="6" t="s">
        <v>205</v>
      </c>
      <c r="F7" s="89" t="s">
        <v>15</v>
      </c>
      <c r="G7" s="16" t="s">
        <v>183</v>
      </c>
      <c r="H7" s="16" t="s">
        <v>184</v>
      </c>
      <c r="I7" s="16"/>
      <c r="J7" s="90"/>
    </row>
    <row r="8" spans="1:10" ht="12.75">
      <c r="A8" s="2">
        <v>0.05</v>
      </c>
      <c r="B8" s="91">
        <v>1</v>
      </c>
      <c r="C8" s="4">
        <f>(A8+(B24/1000))*B11</f>
        <v>0.135</v>
      </c>
      <c r="D8" s="29">
        <v>6</v>
      </c>
      <c r="E8" s="4">
        <f>(C8+C14)*D8+C27+(C4*D4)</f>
        <v>1.2245</v>
      </c>
      <c r="F8" s="29">
        <v>10.5</v>
      </c>
      <c r="G8" s="92">
        <f>((F1+20)/40)*F8*150/E8</f>
        <v>1286.2392813393224</v>
      </c>
      <c r="H8" s="93">
        <f>G8/30</f>
        <v>42.87464271131075</v>
      </c>
      <c r="I8" s="92">
        <f>G8*D8*24</f>
        <v>185218.4565128624</v>
      </c>
      <c r="J8" s="94">
        <f>D8*H4*24*30/I8</f>
        <v>0.2099142857142857</v>
      </c>
    </row>
    <row r="9" spans="1:10" ht="12.75">
      <c r="A9" s="2" t="s">
        <v>2</v>
      </c>
      <c r="B9" s="2" t="s">
        <v>185</v>
      </c>
      <c r="C9" s="5" t="s">
        <v>4</v>
      </c>
      <c r="D9" s="2" t="s">
        <v>6</v>
      </c>
      <c r="E9" s="5" t="s">
        <v>7</v>
      </c>
      <c r="F9" s="95" t="s">
        <v>186</v>
      </c>
      <c r="G9" s="96"/>
      <c r="H9" s="16"/>
      <c r="I9" s="15"/>
      <c r="J9" s="97"/>
    </row>
    <row r="10" spans="1:10" ht="12.75">
      <c r="A10" s="2" t="s">
        <v>206</v>
      </c>
      <c r="B10" s="114">
        <f>2.2+(0.25*(B8-1))</f>
        <v>2.2</v>
      </c>
      <c r="C10" s="4"/>
      <c r="D10" s="2">
        <f>60/D8</f>
        <v>10</v>
      </c>
      <c r="E10" s="3" t="s">
        <v>190</v>
      </c>
      <c r="F10" s="99" t="s">
        <v>188</v>
      </c>
      <c r="G10" s="100"/>
      <c r="H10" s="13"/>
      <c r="I10" s="14"/>
      <c r="J10" s="101"/>
    </row>
    <row r="11" spans="1:10" ht="12.75">
      <c r="A11" s="2" t="s">
        <v>189</v>
      </c>
      <c r="B11" s="103">
        <f>IF(C17&lt;1,B10+C17,C17)</f>
        <v>2.7</v>
      </c>
      <c r="C11" s="62" t="s">
        <v>207</v>
      </c>
      <c r="D11" s="103">
        <f>3600/D8</f>
        <v>600</v>
      </c>
      <c r="E11" s="3" t="s">
        <v>191</v>
      </c>
      <c r="F11" s="3"/>
      <c r="G11" s="17"/>
      <c r="J11" s="102"/>
    </row>
    <row r="12" spans="4:10" ht="12.75">
      <c r="D12" s="115" t="s">
        <v>192</v>
      </c>
      <c r="E12" s="3"/>
      <c r="J12" s="8"/>
    </row>
    <row r="13" spans="1:10" s="3" customFormat="1" ht="12.75">
      <c r="A13" s="6" t="s">
        <v>208</v>
      </c>
      <c r="B13" s="6" t="s">
        <v>209</v>
      </c>
      <c r="C13" s="4"/>
      <c r="F13" s="47"/>
      <c r="G13" s="105"/>
      <c r="H13" s="105"/>
      <c r="I13" s="106"/>
      <c r="J13" s="59"/>
    </row>
    <row r="14" spans="1:13" ht="12.75">
      <c r="A14" s="29">
        <v>0.1</v>
      </c>
      <c r="B14" s="29" t="s">
        <v>210</v>
      </c>
      <c r="C14" s="4">
        <f>A14*C17</f>
        <v>0.05</v>
      </c>
      <c r="D14" s="6"/>
      <c r="E14" s="3"/>
      <c r="F14" s="85" t="s">
        <v>193</v>
      </c>
      <c r="G14" s="18"/>
      <c r="H14" s="18" t="s">
        <v>33</v>
      </c>
      <c r="I14" s="130" t="s">
        <v>29</v>
      </c>
      <c r="J14" s="108"/>
      <c r="M14" s="2">
        <v>0.1</v>
      </c>
    </row>
    <row r="15" spans="1:13" ht="12.75">
      <c r="A15" s="2" t="s">
        <v>211</v>
      </c>
      <c r="B15" s="2" t="s">
        <v>270</v>
      </c>
      <c r="C15" s="5" t="s">
        <v>4</v>
      </c>
      <c r="D15" s="6"/>
      <c r="E15" s="3"/>
      <c r="F15" s="20" t="s">
        <v>22</v>
      </c>
      <c r="G15" s="16">
        <v>6</v>
      </c>
      <c r="H15" s="135">
        <v>6</v>
      </c>
      <c r="I15" s="125" t="s">
        <v>30</v>
      </c>
      <c r="J15" s="90"/>
      <c r="M15" s="2">
        <v>0.15</v>
      </c>
    </row>
    <row r="16" spans="5:10" ht="12.75">
      <c r="E16" s="3"/>
      <c r="F16" s="20" t="s">
        <v>14</v>
      </c>
      <c r="G16" s="16">
        <v>2</v>
      </c>
      <c r="H16" s="135">
        <v>0</v>
      </c>
      <c r="I16" s="131">
        <f>8000000/H25</f>
        <v>800000</v>
      </c>
      <c r="J16" s="90"/>
    </row>
    <row r="17" spans="1:10" ht="12.75">
      <c r="A17" s="2" t="s">
        <v>212</v>
      </c>
      <c r="B17" s="29">
        <v>0</v>
      </c>
      <c r="C17" s="2">
        <f>VLOOKUP(B14,L19:M20,2,FALSE)</f>
        <v>0.5</v>
      </c>
      <c r="D17" s="3" t="s">
        <v>213</v>
      </c>
      <c r="E17" s="3"/>
      <c r="F17" s="20" t="s">
        <v>10</v>
      </c>
      <c r="G17" s="16">
        <v>2</v>
      </c>
      <c r="H17" s="135">
        <v>0</v>
      </c>
      <c r="I17" s="125"/>
      <c r="J17" s="90"/>
    </row>
    <row r="18" spans="2:10" ht="12.75">
      <c r="B18" s="116" t="s">
        <v>214</v>
      </c>
      <c r="E18" s="3"/>
      <c r="F18" s="20" t="s">
        <v>11</v>
      </c>
      <c r="G18" s="16">
        <v>2</v>
      </c>
      <c r="H18" s="135">
        <v>0</v>
      </c>
      <c r="I18" s="125"/>
      <c r="J18" s="90"/>
    </row>
    <row r="19" spans="1:15" ht="12.75">
      <c r="A19" s="2" t="s">
        <v>9</v>
      </c>
      <c r="E19" s="4"/>
      <c r="F19" s="20" t="s">
        <v>12</v>
      </c>
      <c r="G19" s="16">
        <v>2</v>
      </c>
      <c r="H19" s="135">
        <v>0</v>
      </c>
      <c r="I19" s="125"/>
      <c r="J19" s="90"/>
      <c r="L19" s="2" t="s">
        <v>210</v>
      </c>
      <c r="M19" s="2">
        <f>0.5</f>
        <v>0.5</v>
      </c>
      <c r="N19" s="2" t="s">
        <v>210</v>
      </c>
      <c r="O19" s="2">
        <f>VLOOKUP(N19,L19:M20,2,FALSE)</f>
        <v>0.5</v>
      </c>
    </row>
    <row r="20" spans="1:13" ht="12.75">
      <c r="A20" s="2" t="s">
        <v>14</v>
      </c>
      <c r="B20" s="29">
        <v>0</v>
      </c>
      <c r="C20" s="3" t="s">
        <v>194</v>
      </c>
      <c r="E20" s="5"/>
      <c r="F20" s="20" t="s">
        <v>24</v>
      </c>
      <c r="G20" s="16">
        <v>3</v>
      </c>
      <c r="H20" s="135">
        <v>0</v>
      </c>
      <c r="I20" s="125"/>
      <c r="J20" s="90"/>
      <c r="L20" s="2" t="s">
        <v>215</v>
      </c>
      <c r="M20" s="2">
        <f>B17+B10</f>
        <v>2.2</v>
      </c>
    </row>
    <row r="21" spans="1:10" ht="12.75">
      <c r="A21" s="2" t="s">
        <v>10</v>
      </c>
      <c r="B21" s="29">
        <v>0</v>
      </c>
      <c r="C21" s="3" t="s">
        <v>195</v>
      </c>
      <c r="F21" s="20" t="s">
        <v>25</v>
      </c>
      <c r="G21" s="22">
        <v>4</v>
      </c>
      <c r="H21" s="136">
        <v>4</v>
      </c>
      <c r="I21" s="125"/>
      <c r="J21" s="90"/>
    </row>
    <row r="22" spans="1:10" ht="12.75">
      <c r="A22" s="2" t="s">
        <v>11</v>
      </c>
      <c r="B22" s="29">
        <v>0</v>
      </c>
      <c r="F22" s="20" t="s">
        <v>26</v>
      </c>
      <c r="G22" s="16">
        <v>7</v>
      </c>
      <c r="H22" s="135">
        <v>0</v>
      </c>
      <c r="I22" s="125"/>
      <c r="J22" s="90"/>
    </row>
    <row r="23" spans="1:10" ht="12.75">
      <c r="A23" s="2" t="s">
        <v>12</v>
      </c>
      <c r="B23" s="29">
        <v>0</v>
      </c>
      <c r="F23" s="20" t="s">
        <v>27</v>
      </c>
      <c r="G23" s="16">
        <v>7</v>
      </c>
      <c r="H23" s="135">
        <v>0</v>
      </c>
      <c r="I23" s="125"/>
      <c r="J23" s="90"/>
    </row>
    <row r="24" spans="1:10" s="1" customFormat="1" ht="12.75">
      <c r="A24" s="2" t="s">
        <v>13</v>
      </c>
      <c r="B24" s="98">
        <f>SUM(B20:B23)</f>
        <v>0</v>
      </c>
      <c r="C24" s="3" t="s">
        <v>31</v>
      </c>
      <c r="D24" s="2"/>
      <c r="E24" s="2"/>
      <c r="F24" s="23" t="s">
        <v>27</v>
      </c>
      <c r="G24" s="13">
        <v>7</v>
      </c>
      <c r="H24" s="135">
        <v>0</v>
      </c>
      <c r="I24" s="132"/>
      <c r="J24" s="109" t="s">
        <v>181</v>
      </c>
    </row>
    <row r="25" spans="4:10" ht="12.75">
      <c r="D25" s="1"/>
      <c r="F25" s="24" t="s">
        <v>28</v>
      </c>
      <c r="G25" s="13"/>
      <c r="H25" s="137">
        <f>SUM(H15:H24)</f>
        <v>10</v>
      </c>
      <c r="I25" s="133"/>
      <c r="J25" s="111">
        <f>D8*H4*24*30/I16</f>
        <v>0.0486</v>
      </c>
    </row>
    <row r="26" spans="1:10" ht="12.75">
      <c r="A26" s="1" t="s">
        <v>0</v>
      </c>
      <c r="B26" s="1"/>
      <c r="C26" s="1"/>
      <c r="F26" s="5"/>
      <c r="G26" s="16"/>
      <c r="H26" s="16"/>
      <c r="I26" s="15"/>
      <c r="J26" s="16"/>
    </row>
    <row r="27" spans="1:8" ht="12.75">
      <c r="A27" s="2">
        <v>3E-05</v>
      </c>
      <c r="B27" s="2">
        <v>3600</v>
      </c>
      <c r="C27" s="2">
        <f>A27*B27</f>
        <v>0.108</v>
      </c>
      <c r="F27" s="25"/>
      <c r="G27" s="27"/>
      <c r="H27" s="27"/>
    </row>
    <row r="28" spans="1:3" ht="12.75">
      <c r="A28" s="5" t="s">
        <v>2</v>
      </c>
      <c r="B28" s="5" t="s">
        <v>5</v>
      </c>
      <c r="C28" s="5" t="s">
        <v>4</v>
      </c>
    </row>
    <row r="29" ht="12.75">
      <c r="E29" s="1"/>
    </row>
    <row r="30" spans="1:10" s="25" customFormat="1" ht="12.75">
      <c r="A30" s="1" t="s">
        <v>196</v>
      </c>
      <c r="B30" s="2"/>
      <c r="C30" s="2"/>
      <c r="D30" s="2"/>
      <c r="E30" s="2"/>
      <c r="F30" s="2"/>
      <c r="G30" s="7"/>
      <c r="H30" s="7"/>
      <c r="I30" s="28"/>
      <c r="J30" s="27"/>
    </row>
    <row r="31" spans="1:3" ht="12.75">
      <c r="A31" s="26" t="s">
        <v>38</v>
      </c>
      <c r="B31" s="25"/>
      <c r="C31" s="25"/>
    </row>
    <row r="32" spans="1:2" ht="12.75">
      <c r="A32" s="37" t="s">
        <v>43</v>
      </c>
      <c r="B32" s="3"/>
    </row>
    <row r="33" ht="12.75">
      <c r="A33" s="26" t="s">
        <v>39</v>
      </c>
    </row>
    <row r="34" ht="12.75">
      <c r="A34" s="26" t="s">
        <v>197</v>
      </c>
    </row>
    <row r="35" spans="1:5" ht="12.75">
      <c r="A35" s="26" t="s">
        <v>271</v>
      </c>
      <c r="E35" s="25"/>
    </row>
  </sheetData>
  <sheetProtection sheet="1" objects="1" scenarios="1" selectLockedCells="1"/>
  <dataValidations count="2">
    <dataValidation type="list" allowBlank="1" showInputMessage="1" showErrorMessage="1" sqref="A14">
      <formula1>$M$14:$M$15</formula1>
    </dataValidation>
    <dataValidation type="list" allowBlank="1" showInputMessage="1" showErrorMessage="1" sqref="N19:N20 B14">
      <formula1>$L$19:$L$20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O37"/>
  <sheetViews>
    <sheetView workbookViewId="0" topLeftCell="A1">
      <selection activeCell="B4" sqref="B4"/>
    </sheetView>
  </sheetViews>
  <sheetFormatPr defaultColWidth="9.140625" defaultRowHeight="12.75"/>
  <cols>
    <col min="1" max="1" width="17.00390625" style="2" customWidth="1"/>
    <col min="2" max="2" width="20.140625" style="2" customWidth="1"/>
    <col min="3" max="3" width="16.8515625" style="2" customWidth="1"/>
    <col min="4" max="4" width="15.8515625" style="2" customWidth="1"/>
    <col min="5" max="5" width="20.00390625" style="2" customWidth="1"/>
    <col min="6" max="6" width="14.28125" style="2" customWidth="1"/>
    <col min="7" max="8" width="8.28125" style="7" customWidth="1"/>
    <col min="9" max="9" width="9.2812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222</v>
      </c>
      <c r="C1" s="35" t="s">
        <v>216</v>
      </c>
      <c r="E1" s="2" t="s">
        <v>41</v>
      </c>
      <c r="F1" s="29">
        <v>20</v>
      </c>
      <c r="G1" s="3" t="s">
        <v>37</v>
      </c>
      <c r="H1" s="2"/>
      <c r="I1" s="2"/>
      <c r="J1" s="2"/>
    </row>
    <row r="2" spans="1:10" ht="12.75">
      <c r="A2" s="3" t="s">
        <v>34</v>
      </c>
      <c r="B2" s="5"/>
      <c r="C2" s="78" t="s">
        <v>139</v>
      </c>
      <c r="E2" s="6" t="s">
        <v>36</v>
      </c>
      <c r="G2" s="38" t="s">
        <v>40</v>
      </c>
      <c r="H2" s="2"/>
      <c r="I2" s="2"/>
      <c r="J2" s="2"/>
    </row>
    <row r="3" spans="1:10" ht="12.75">
      <c r="A3" s="3"/>
      <c r="B3" s="5"/>
      <c r="C3" s="81"/>
      <c r="E3" s="6"/>
      <c r="G3" s="38"/>
      <c r="H3" s="2"/>
      <c r="I3" s="2"/>
      <c r="J3" s="2"/>
    </row>
    <row r="4" spans="1:13" ht="12.75">
      <c r="A4" s="2" t="s">
        <v>44</v>
      </c>
      <c r="B4" s="29">
        <v>10</v>
      </c>
      <c r="C4" s="4">
        <f>0.0013*0.5*B4</f>
        <v>0.0065</v>
      </c>
      <c r="D4" s="29">
        <v>1</v>
      </c>
      <c r="E4" s="6"/>
      <c r="F4" s="82"/>
      <c r="G4" s="51" t="s">
        <v>176</v>
      </c>
      <c r="H4" s="83">
        <v>1</v>
      </c>
      <c r="I4" s="84" t="s">
        <v>177</v>
      </c>
      <c r="J4" s="82"/>
      <c r="M4" s="2">
        <f>IF(B10&lt;1,0.3,B10)</f>
        <v>3</v>
      </c>
    </row>
    <row r="5" spans="2:10" ht="12.75">
      <c r="B5" s="2" t="s">
        <v>45</v>
      </c>
      <c r="C5" s="5" t="s">
        <v>4</v>
      </c>
      <c r="D5" s="2" t="s">
        <v>218</v>
      </c>
      <c r="F5" s="5"/>
      <c r="G5" s="16"/>
      <c r="H5" s="16"/>
      <c r="I5" s="15"/>
      <c r="J5" s="16"/>
    </row>
    <row r="6" spans="1:10" ht="12.75">
      <c r="A6" s="3" t="s">
        <v>204</v>
      </c>
      <c r="D6" s="6"/>
      <c r="F6" s="85" t="s">
        <v>179</v>
      </c>
      <c r="G6" s="86" t="s">
        <v>180</v>
      </c>
      <c r="H6" s="87"/>
      <c r="I6" s="87" t="s">
        <v>20</v>
      </c>
      <c r="J6" s="88" t="s">
        <v>181</v>
      </c>
    </row>
    <row r="7" spans="2:10" s="3" customFormat="1" ht="12.75">
      <c r="B7" s="2" t="s">
        <v>182</v>
      </c>
      <c r="E7" s="6" t="s">
        <v>205</v>
      </c>
      <c r="F7" s="89" t="s">
        <v>15</v>
      </c>
      <c r="G7" s="16" t="s">
        <v>183</v>
      </c>
      <c r="H7" s="16" t="s">
        <v>184</v>
      </c>
      <c r="I7" s="16"/>
      <c r="J7" s="90"/>
    </row>
    <row r="8" spans="1:10" ht="12.75">
      <c r="A8" s="2">
        <v>0.065</v>
      </c>
      <c r="B8" s="91">
        <v>4</v>
      </c>
      <c r="C8" s="4">
        <f>(A8+(B26/1000))*B13</f>
        <v>3.45675</v>
      </c>
      <c r="D8" s="29">
        <v>12</v>
      </c>
      <c r="E8" s="4">
        <f>(C8+C16)*D8+C29+(C4*D4)</f>
        <v>79.30550000000001</v>
      </c>
      <c r="F8" s="29">
        <v>10.5</v>
      </c>
      <c r="G8" s="92">
        <f>((F1+20)/40)*F8*150/E8</f>
        <v>19.859908833561352</v>
      </c>
      <c r="H8" s="93">
        <f>G8/30</f>
        <v>0.6619969611187118</v>
      </c>
      <c r="I8" s="92">
        <f>G8*D8*24</f>
        <v>5719.65374406567</v>
      </c>
      <c r="J8" s="94">
        <f>D8*H4*24*30/I8</f>
        <v>1.5105809523809524</v>
      </c>
    </row>
    <row r="9" spans="1:10" ht="12.75">
      <c r="A9" s="2" t="s">
        <v>2</v>
      </c>
      <c r="B9" s="2" t="s">
        <v>185</v>
      </c>
      <c r="C9" s="5" t="s">
        <v>4</v>
      </c>
      <c r="D9" s="2" t="s">
        <v>6</v>
      </c>
      <c r="E9" s="5" t="s">
        <v>7</v>
      </c>
      <c r="F9" s="95" t="s">
        <v>186</v>
      </c>
      <c r="G9" s="96"/>
      <c r="H9" s="16"/>
      <c r="I9" s="15"/>
      <c r="J9" s="97"/>
    </row>
    <row r="10" spans="1:10" ht="12.75">
      <c r="A10" s="2" t="s">
        <v>199</v>
      </c>
      <c r="B10" s="29">
        <v>3</v>
      </c>
      <c r="C10" s="62" t="s">
        <v>200</v>
      </c>
      <c r="F10" s="99" t="s">
        <v>188</v>
      </c>
      <c r="G10" s="100"/>
      <c r="H10" s="13"/>
      <c r="I10" s="14"/>
      <c r="J10" s="101"/>
    </row>
    <row r="11" spans="2:10" ht="12.75">
      <c r="B11" s="2" t="s">
        <v>201</v>
      </c>
      <c r="C11" s="4"/>
      <c r="D11" s="10">
        <f>60/D8</f>
        <v>5</v>
      </c>
      <c r="E11" s="3" t="s">
        <v>190</v>
      </c>
      <c r="F11" s="3"/>
      <c r="G11" s="17"/>
      <c r="J11" s="102"/>
    </row>
    <row r="12" spans="1:10" ht="12.75">
      <c r="A12" s="2" t="s">
        <v>206</v>
      </c>
      <c r="B12" s="117">
        <f>2.2+(0.25*(B8-1))+M4</f>
        <v>5.95</v>
      </c>
      <c r="D12" s="33">
        <f>3600/D8</f>
        <v>300</v>
      </c>
      <c r="E12" s="3" t="s">
        <v>191</v>
      </c>
      <c r="J12" s="8"/>
    </row>
    <row r="13" spans="1:10" s="3" customFormat="1" ht="12.75">
      <c r="A13" s="2" t="s">
        <v>189</v>
      </c>
      <c r="B13" s="98">
        <f>IF(C19&lt;1,B10+B12+C19,C19)</f>
        <v>20.95</v>
      </c>
      <c r="C13" s="62" t="s">
        <v>207</v>
      </c>
      <c r="D13" s="115" t="s">
        <v>192</v>
      </c>
      <c r="F13" s="47"/>
      <c r="G13" s="105"/>
      <c r="H13" s="105"/>
      <c r="I13" s="106"/>
      <c r="J13" s="59"/>
    </row>
    <row r="14" spans="4:13" ht="12.75">
      <c r="D14"/>
      <c r="E14" s="3"/>
      <c r="F14" s="85" t="s">
        <v>193</v>
      </c>
      <c r="G14" s="18"/>
      <c r="H14" s="18" t="s">
        <v>33</v>
      </c>
      <c r="I14" s="130" t="s">
        <v>29</v>
      </c>
      <c r="J14" s="108"/>
      <c r="M14" s="2">
        <v>0.1</v>
      </c>
    </row>
    <row r="15" spans="1:13" ht="12.75">
      <c r="A15" s="6" t="s">
        <v>208</v>
      </c>
      <c r="B15" s="6" t="s">
        <v>209</v>
      </c>
      <c r="C15" s="4"/>
      <c r="E15" s="3"/>
      <c r="F15" s="20" t="s">
        <v>22</v>
      </c>
      <c r="G15" s="16">
        <v>6</v>
      </c>
      <c r="H15" s="135">
        <v>6</v>
      </c>
      <c r="I15" s="125" t="s">
        <v>30</v>
      </c>
      <c r="J15" s="90"/>
      <c r="M15" s="2">
        <v>0.15</v>
      </c>
    </row>
    <row r="16" spans="1:10" ht="12.75">
      <c r="A16" s="29">
        <v>0.15</v>
      </c>
      <c r="B16" s="29" t="s">
        <v>215</v>
      </c>
      <c r="C16" s="4">
        <f>A16*C19</f>
        <v>3.1424999999999996</v>
      </c>
      <c r="D16" s="6"/>
      <c r="E16" s="3"/>
      <c r="F16" s="20" t="s">
        <v>23</v>
      </c>
      <c r="G16" s="16">
        <v>5</v>
      </c>
      <c r="H16" s="135">
        <v>0</v>
      </c>
      <c r="I16" s="131">
        <f>8000000/H27</f>
        <v>333333.3333333333</v>
      </c>
      <c r="J16" s="90"/>
    </row>
    <row r="17" spans="1:10" ht="12.75">
      <c r="A17" s="2" t="s">
        <v>211</v>
      </c>
      <c r="B17" s="2" t="s">
        <v>270</v>
      </c>
      <c r="C17" s="5" t="s">
        <v>4</v>
      </c>
      <c r="D17" s="6"/>
      <c r="E17" s="3"/>
      <c r="F17" s="20" t="s">
        <v>269</v>
      </c>
      <c r="G17" s="16">
        <v>6</v>
      </c>
      <c r="H17" s="135">
        <v>6</v>
      </c>
      <c r="I17" s="125"/>
      <c r="J17" s="90"/>
    </row>
    <row r="18" spans="5:10" ht="12.75">
      <c r="E18" s="3"/>
      <c r="F18" s="20" t="s">
        <v>14</v>
      </c>
      <c r="G18" s="16">
        <v>2</v>
      </c>
      <c r="H18" s="135">
        <v>2</v>
      </c>
      <c r="I18" s="125"/>
      <c r="J18" s="90"/>
    </row>
    <row r="19" spans="1:15" ht="12.75">
      <c r="A19" s="2" t="s">
        <v>212</v>
      </c>
      <c r="B19" s="29">
        <v>15</v>
      </c>
      <c r="C19" s="2">
        <f>VLOOKUP(B16,L19:M20,2,FALSE)</f>
        <v>20.95</v>
      </c>
      <c r="D19" s="3" t="s">
        <v>213</v>
      </c>
      <c r="E19" s="4"/>
      <c r="F19" s="20" t="s">
        <v>10</v>
      </c>
      <c r="G19" s="16">
        <v>2</v>
      </c>
      <c r="H19" s="135">
        <v>2</v>
      </c>
      <c r="I19" s="125"/>
      <c r="J19" s="90"/>
      <c r="L19" s="2" t="s">
        <v>210</v>
      </c>
      <c r="M19" s="2">
        <f>0.5</f>
        <v>0.5</v>
      </c>
      <c r="N19" s="2" t="s">
        <v>210</v>
      </c>
      <c r="O19" s="2">
        <f>VLOOKUP(N19,L19:M20,2,FALSE)</f>
        <v>0.5</v>
      </c>
    </row>
    <row r="20" spans="2:13" ht="12.75">
      <c r="B20" s="116" t="s">
        <v>214</v>
      </c>
      <c r="E20" s="5"/>
      <c r="F20" s="20" t="s">
        <v>11</v>
      </c>
      <c r="G20" s="16">
        <v>2</v>
      </c>
      <c r="H20" s="135">
        <v>2</v>
      </c>
      <c r="I20" s="125"/>
      <c r="J20" s="90"/>
      <c r="L20" s="2" t="s">
        <v>215</v>
      </c>
      <c r="M20" s="2">
        <f>B19+B12</f>
        <v>20.95</v>
      </c>
    </row>
    <row r="21" spans="1:10" ht="12.75">
      <c r="A21" s="2" t="s">
        <v>9</v>
      </c>
      <c r="F21" s="20" t="s">
        <v>12</v>
      </c>
      <c r="G21" s="16">
        <v>2</v>
      </c>
      <c r="H21" s="135">
        <v>2</v>
      </c>
      <c r="I21" s="125"/>
      <c r="J21" s="90"/>
    </row>
    <row r="22" spans="1:10" ht="12.75">
      <c r="A22" s="2" t="s">
        <v>14</v>
      </c>
      <c r="B22" s="29">
        <v>100</v>
      </c>
      <c r="C22" s="3" t="s">
        <v>194</v>
      </c>
      <c r="F22" s="20" t="s">
        <v>24</v>
      </c>
      <c r="G22" s="16">
        <v>3</v>
      </c>
      <c r="H22" s="135">
        <v>0</v>
      </c>
      <c r="I22" s="125"/>
      <c r="J22" s="90"/>
    </row>
    <row r="23" spans="1:10" ht="12.75">
      <c r="A23" s="2" t="s">
        <v>10</v>
      </c>
      <c r="B23" s="29">
        <v>0</v>
      </c>
      <c r="C23" s="3" t="s">
        <v>195</v>
      </c>
      <c r="F23" s="20" t="s">
        <v>25</v>
      </c>
      <c r="G23" s="22">
        <v>4</v>
      </c>
      <c r="H23" s="136">
        <v>4</v>
      </c>
      <c r="I23" s="20"/>
      <c r="J23" s="138"/>
    </row>
    <row r="24" spans="1:10" s="1" customFormat="1" ht="12.75">
      <c r="A24" s="2" t="s">
        <v>11</v>
      </c>
      <c r="B24" s="29">
        <v>0</v>
      </c>
      <c r="C24" s="2"/>
      <c r="D24" s="2"/>
      <c r="E24" s="2"/>
      <c r="F24" s="20" t="s">
        <v>26</v>
      </c>
      <c r="G24" s="16">
        <v>7</v>
      </c>
      <c r="H24" s="135">
        <v>0</v>
      </c>
      <c r="I24" s="139"/>
      <c r="J24" s="21"/>
    </row>
    <row r="25" spans="1:10" ht="12.75">
      <c r="A25" s="2" t="s">
        <v>12</v>
      </c>
      <c r="B25" s="29">
        <v>0</v>
      </c>
      <c r="F25" s="20" t="s">
        <v>27</v>
      </c>
      <c r="G25" s="16">
        <v>7</v>
      </c>
      <c r="H25" s="135">
        <v>0</v>
      </c>
      <c r="I25" s="139"/>
      <c r="J25" s="21"/>
    </row>
    <row r="26" spans="1:10" ht="12.75">
      <c r="A26" s="2" t="s">
        <v>13</v>
      </c>
      <c r="B26" s="98">
        <f>SUM(B22:B25)</f>
        <v>100</v>
      </c>
      <c r="C26" s="3" t="s">
        <v>31</v>
      </c>
      <c r="F26" s="23" t="s">
        <v>27</v>
      </c>
      <c r="G26" s="13">
        <v>7</v>
      </c>
      <c r="H26" s="135">
        <v>0</v>
      </c>
      <c r="I26" s="132"/>
      <c r="J26" s="109" t="s">
        <v>181</v>
      </c>
    </row>
    <row r="27" spans="4:10" ht="12.75">
      <c r="D27" s="1"/>
      <c r="F27" s="24" t="s">
        <v>28</v>
      </c>
      <c r="G27" s="13"/>
      <c r="H27" s="137">
        <f>SUM(H15:H26)</f>
        <v>24</v>
      </c>
      <c r="I27" s="133"/>
      <c r="J27" s="111">
        <f>D8*H4*24*30/I16</f>
        <v>0.025920000000000002</v>
      </c>
    </row>
    <row r="28" spans="1:8" ht="12.75">
      <c r="A28" s="1" t="s">
        <v>0</v>
      </c>
      <c r="B28" s="1"/>
      <c r="C28" s="1"/>
      <c r="F28" s="5"/>
      <c r="G28" s="16"/>
      <c r="H28" s="16"/>
    </row>
    <row r="29" spans="1:10" ht="12.75">
      <c r="A29" s="2">
        <v>3E-05</v>
      </c>
      <c r="B29" s="2">
        <v>3600</v>
      </c>
      <c r="C29" s="2">
        <f>A29*B29</f>
        <v>0.108</v>
      </c>
      <c r="E29" s="1"/>
      <c r="F29" s="25"/>
      <c r="G29" s="27"/>
      <c r="H29" s="27"/>
      <c r="I29" s="28"/>
      <c r="J29" s="27"/>
    </row>
    <row r="30" spans="1:10" s="25" customFormat="1" ht="12.75">
      <c r="A30" s="5" t="s">
        <v>2</v>
      </c>
      <c r="B30" s="5" t="s">
        <v>5</v>
      </c>
      <c r="C30" s="5" t="s">
        <v>4</v>
      </c>
      <c r="D30" s="2"/>
      <c r="E30" s="2"/>
      <c r="F30" s="2"/>
      <c r="G30" s="7"/>
      <c r="H30" s="7"/>
      <c r="I30" s="10"/>
      <c r="J30" s="7"/>
    </row>
    <row r="32" ht="12.75">
      <c r="A32" s="1" t="s">
        <v>196</v>
      </c>
    </row>
    <row r="33" spans="1:3" ht="12.75">
      <c r="A33" s="26" t="s">
        <v>38</v>
      </c>
      <c r="B33" s="25"/>
      <c r="C33" s="25"/>
    </row>
    <row r="34" spans="1:2" ht="12.75">
      <c r="A34" s="37" t="s">
        <v>43</v>
      </c>
      <c r="B34" s="3"/>
    </row>
    <row r="35" spans="1:5" ht="12.75">
      <c r="A35" s="26" t="s">
        <v>39</v>
      </c>
      <c r="E35" s="25"/>
    </row>
    <row r="36" ht="12.75">
      <c r="A36" s="26" t="s">
        <v>197</v>
      </c>
    </row>
    <row r="37" ht="12.75">
      <c r="A37" s="26" t="s">
        <v>271</v>
      </c>
    </row>
  </sheetData>
  <sheetProtection sheet="1" objects="1" scenarios="1" selectLockedCells="1"/>
  <dataValidations count="2">
    <dataValidation type="list" allowBlank="1" showInputMessage="1" showErrorMessage="1" sqref="A16">
      <formula1>$M$14:$M$15</formula1>
    </dataValidation>
    <dataValidation type="list" allowBlank="1" showInputMessage="1" showErrorMessage="1" sqref="N19:N20 B16">
      <formula1>$L$19:$L$20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P33"/>
  <sheetViews>
    <sheetView workbookViewId="0" topLeftCell="A1">
      <selection activeCell="F9" sqref="F9"/>
    </sheetView>
  </sheetViews>
  <sheetFormatPr defaultColWidth="9.140625" defaultRowHeight="12.75"/>
  <cols>
    <col min="1" max="1" width="15.57421875" style="2" customWidth="1"/>
    <col min="2" max="2" width="20.28125" style="2" customWidth="1"/>
    <col min="3" max="3" width="20.7109375" style="2" customWidth="1"/>
    <col min="4" max="4" width="14.7109375" style="2" customWidth="1"/>
    <col min="5" max="5" width="19.7109375" style="2" customWidth="1"/>
    <col min="6" max="6" width="12.8515625" style="2" customWidth="1"/>
    <col min="7" max="7" width="8.140625" style="7" customWidth="1"/>
    <col min="8" max="8" width="7.28125" style="7" customWidth="1"/>
    <col min="9" max="9" width="10.4218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58</v>
      </c>
      <c r="C1" s="35" t="s">
        <v>47</v>
      </c>
      <c r="D1" s="3" t="s">
        <v>34</v>
      </c>
      <c r="H1" s="2"/>
      <c r="I1" s="2"/>
      <c r="J1" s="2"/>
    </row>
    <row r="2" spans="2:3" ht="12.75">
      <c r="B2" s="5"/>
      <c r="C2" s="78" t="s">
        <v>139</v>
      </c>
    </row>
    <row r="3" spans="1:10" ht="12.75">
      <c r="A3" s="3"/>
      <c r="B3" s="5"/>
      <c r="C3" s="81"/>
      <c r="F3" s="117"/>
      <c r="G3" s="117"/>
      <c r="H3" s="150"/>
      <c r="I3" s="151"/>
      <c r="J3" s="152"/>
    </row>
    <row r="4" spans="1:10" ht="12.75">
      <c r="A4" s="3" t="s">
        <v>97</v>
      </c>
      <c r="B4" s="5"/>
      <c r="C4" s="5"/>
      <c r="F4" s="117"/>
      <c r="G4" s="117"/>
      <c r="H4" s="150"/>
      <c r="I4" s="151"/>
      <c r="J4" s="152"/>
    </row>
    <row r="5" spans="1:10" ht="12.75">
      <c r="A5" s="3"/>
      <c r="B5" s="42">
        <v>10</v>
      </c>
      <c r="C5" s="66">
        <f>0.005*0.5*B5</f>
        <v>0.025</v>
      </c>
      <c r="D5" s="29">
        <v>1</v>
      </c>
      <c r="F5" s="51"/>
      <c r="G5" s="51" t="s">
        <v>176</v>
      </c>
      <c r="H5" s="83">
        <v>12</v>
      </c>
      <c r="I5" s="84" t="s">
        <v>177</v>
      </c>
      <c r="J5" s="82"/>
    </row>
    <row r="6" spans="3:10" ht="12.75">
      <c r="C6" s="5" t="s">
        <v>4</v>
      </c>
      <c r="D6" s="2" t="s">
        <v>218</v>
      </c>
      <c r="F6" s="5"/>
      <c r="G6" s="16"/>
      <c r="H6" s="16"/>
      <c r="I6" s="15"/>
      <c r="J6" s="16"/>
    </row>
    <row r="7" spans="4:10" ht="12.75">
      <c r="D7" s="6"/>
      <c r="F7" s="85" t="s">
        <v>179</v>
      </c>
      <c r="G7" s="86" t="s">
        <v>235</v>
      </c>
      <c r="H7" s="87"/>
      <c r="I7" s="87" t="s">
        <v>20</v>
      </c>
      <c r="J7" s="88" t="s">
        <v>236</v>
      </c>
    </row>
    <row r="8" spans="1:10" s="3" customFormat="1" ht="12.75">
      <c r="A8" s="40" t="s">
        <v>48</v>
      </c>
      <c r="B8" s="41"/>
      <c r="F8" s="89" t="s">
        <v>15</v>
      </c>
      <c r="G8" s="16" t="s">
        <v>237</v>
      </c>
      <c r="H8" s="16" t="s">
        <v>184</v>
      </c>
      <c r="I8" s="15"/>
      <c r="J8" s="109"/>
    </row>
    <row r="9" spans="1:10" ht="12.75">
      <c r="A9" s="2">
        <v>0.03</v>
      </c>
      <c r="B9" s="49">
        <v>2.2</v>
      </c>
      <c r="C9" s="4">
        <f>A9*B9</f>
        <v>0.066</v>
      </c>
      <c r="D9" s="29">
        <v>18</v>
      </c>
      <c r="E9" s="4">
        <f>C9*D9+C22+(C5*D5)</f>
        <v>1.5730000000000002</v>
      </c>
      <c r="F9" s="29">
        <v>5</v>
      </c>
      <c r="G9" s="92">
        <f>F9*150/E9</f>
        <v>476.7959313413858</v>
      </c>
      <c r="H9" s="140">
        <f>G9/30</f>
        <v>15.893197711379527</v>
      </c>
      <c r="I9" s="92">
        <f>G9*D9*24</f>
        <v>205975.8423394787</v>
      </c>
      <c r="J9" s="94">
        <f>D9*24*30*H5/I9</f>
        <v>0.75504</v>
      </c>
    </row>
    <row r="10" spans="1:10" ht="12.75">
      <c r="A10" s="2" t="s">
        <v>2</v>
      </c>
      <c r="B10" s="44" t="s">
        <v>59</v>
      </c>
      <c r="C10" s="5" t="s">
        <v>4</v>
      </c>
      <c r="D10" s="2" t="s">
        <v>6</v>
      </c>
      <c r="E10" s="5" t="s">
        <v>7</v>
      </c>
      <c r="F10" s="99" t="s">
        <v>50</v>
      </c>
      <c r="G10" s="100"/>
      <c r="H10" s="13"/>
      <c r="I10" s="14"/>
      <c r="J10" s="101"/>
    </row>
    <row r="11" spans="2:10" ht="12.75">
      <c r="B11"/>
      <c r="C11" s="4"/>
      <c r="D11" s="43">
        <f>60/D9</f>
        <v>3.3333333333333335</v>
      </c>
      <c r="E11" s="3" t="s">
        <v>91</v>
      </c>
      <c r="G11" s="17"/>
      <c r="J11" s="102"/>
    </row>
    <row r="12" spans="2:10" ht="12.75">
      <c r="B12" s="143"/>
      <c r="C12" s="3"/>
      <c r="D12" s="98">
        <f>3600/D9</f>
        <v>200</v>
      </c>
      <c r="E12" s="3" t="s">
        <v>238</v>
      </c>
      <c r="J12" s="8"/>
    </row>
    <row r="13" spans="1:16" s="3" customFormat="1" ht="12.75">
      <c r="A13"/>
      <c r="B13" s="2"/>
      <c r="D13" s="141" t="s">
        <v>239</v>
      </c>
      <c r="J13" s="6"/>
      <c r="L13" s="112"/>
      <c r="M13" s="112"/>
      <c r="N13" s="112"/>
      <c r="O13" s="112"/>
      <c r="P13" s="112"/>
    </row>
    <row r="14" spans="6:16" ht="12.75">
      <c r="F14" s="85" t="s">
        <v>179</v>
      </c>
      <c r="G14" s="86" t="s">
        <v>235</v>
      </c>
      <c r="H14" s="87"/>
      <c r="I14" s="87" t="s">
        <v>20</v>
      </c>
      <c r="J14" s="88" t="s">
        <v>236</v>
      </c>
      <c r="L14" s="142"/>
      <c r="M14" s="142"/>
      <c r="N14" s="142"/>
      <c r="O14" s="142"/>
      <c r="P14" s="142"/>
    </row>
    <row r="15" spans="1:16" ht="12.75">
      <c r="A15" s="40" t="s">
        <v>52</v>
      </c>
      <c r="B15" s="3"/>
      <c r="C15" s="3"/>
      <c r="D15" s="3"/>
      <c r="E15" s="3"/>
      <c r="F15" s="89" t="s">
        <v>15</v>
      </c>
      <c r="G15" s="16" t="s">
        <v>237</v>
      </c>
      <c r="H15" s="16" t="s">
        <v>184</v>
      </c>
      <c r="I15" s="15"/>
      <c r="J15" s="109"/>
      <c r="L15" s="142"/>
      <c r="M15" s="142"/>
      <c r="N15" s="142"/>
      <c r="O15" s="142"/>
      <c r="P15" s="142"/>
    </row>
    <row r="16" spans="1:16" ht="12.75">
      <c r="A16" s="2">
        <v>0.03</v>
      </c>
      <c r="B16" s="49">
        <v>2.95</v>
      </c>
      <c r="C16" s="4">
        <f>A16*B16</f>
        <v>0.0885</v>
      </c>
      <c r="D16" s="29">
        <v>18</v>
      </c>
      <c r="E16" s="4">
        <f>C16*D16+C22+(C5*D5)</f>
        <v>1.978</v>
      </c>
      <c r="F16" s="29">
        <v>5</v>
      </c>
      <c r="G16" s="92">
        <f>F16*150/E16</f>
        <v>379.17087967644085</v>
      </c>
      <c r="H16" s="140">
        <f>G16/30</f>
        <v>12.639029322548028</v>
      </c>
      <c r="I16" s="92">
        <f>G16*D16*24</f>
        <v>163801.82002022245</v>
      </c>
      <c r="J16" s="94">
        <f>D16*24*30*H5/I16</f>
        <v>0.94944</v>
      </c>
      <c r="L16" s="142"/>
      <c r="M16" s="142"/>
      <c r="N16" s="142"/>
      <c r="O16" s="142"/>
      <c r="P16" s="142"/>
    </row>
    <row r="17" spans="1:16" ht="12.75">
      <c r="A17" s="2" t="s">
        <v>2</v>
      </c>
      <c r="B17" s="44" t="s">
        <v>59</v>
      </c>
      <c r="C17" s="5" t="s">
        <v>4</v>
      </c>
      <c r="D17" s="2" t="s">
        <v>6</v>
      </c>
      <c r="E17" s="5" t="s">
        <v>7</v>
      </c>
      <c r="F17" s="99" t="s">
        <v>50</v>
      </c>
      <c r="G17" s="100"/>
      <c r="H17" s="13"/>
      <c r="I17" s="14"/>
      <c r="J17" s="101"/>
      <c r="L17" s="142"/>
      <c r="M17" s="142"/>
      <c r="N17" s="142"/>
      <c r="O17" s="142"/>
      <c r="P17" s="142"/>
    </row>
    <row r="18" spans="2:16" ht="12.75">
      <c r="B18"/>
      <c r="C18" s="4"/>
      <c r="D18" s="43">
        <f>60/D16</f>
        <v>3.3333333333333335</v>
      </c>
      <c r="E18" s="3" t="s">
        <v>91</v>
      </c>
      <c r="J18" s="8"/>
      <c r="L18" s="142"/>
      <c r="M18" s="142"/>
      <c r="N18" s="142"/>
      <c r="O18" s="142"/>
      <c r="P18" s="142"/>
    </row>
    <row r="19" spans="2:16" ht="12.75">
      <c r="B19" s="36"/>
      <c r="C19" s="3"/>
      <c r="D19" s="98">
        <f>3600/D16</f>
        <v>200</v>
      </c>
      <c r="E19" s="3" t="s">
        <v>238</v>
      </c>
      <c r="J19" s="8"/>
      <c r="L19" s="142"/>
      <c r="M19" s="142"/>
      <c r="N19" s="142"/>
      <c r="O19" s="142"/>
      <c r="P19" s="142"/>
    </row>
    <row r="20" spans="1:16" ht="12.75">
      <c r="A20"/>
      <c r="C20"/>
      <c r="D20" s="141" t="s">
        <v>239</v>
      </c>
      <c r="J20" s="8"/>
      <c r="L20" s="142"/>
      <c r="M20" s="142"/>
      <c r="N20" s="142"/>
      <c r="O20" s="142"/>
      <c r="P20" s="142"/>
    </row>
    <row r="21" spans="1:16" ht="12.75">
      <c r="A21" s="1" t="s">
        <v>0</v>
      </c>
      <c r="B21"/>
      <c r="C21" s="1"/>
      <c r="D21" s="1"/>
      <c r="F21" s="85" t="s">
        <v>193</v>
      </c>
      <c r="G21" s="45"/>
      <c r="H21" s="45"/>
      <c r="I21" s="87" t="s">
        <v>136</v>
      </c>
      <c r="J21" s="144" t="s">
        <v>181</v>
      </c>
      <c r="L21" s="142">
        <v>0</v>
      </c>
      <c r="M21" s="142"/>
      <c r="N21" s="142"/>
      <c r="O21" s="142"/>
      <c r="P21" s="142"/>
    </row>
    <row r="22" spans="1:16" ht="12.75">
      <c r="A22" s="2">
        <v>0.0001</v>
      </c>
      <c r="B22" s="2">
        <v>3600</v>
      </c>
      <c r="C22" s="2">
        <f>A22*B22</f>
        <v>0.36000000000000004</v>
      </c>
      <c r="F22" s="46" t="s">
        <v>22</v>
      </c>
      <c r="G22" s="5">
        <v>5</v>
      </c>
      <c r="H22" s="5"/>
      <c r="I22" s="168">
        <v>2048</v>
      </c>
      <c r="J22" s="147" t="s">
        <v>241</v>
      </c>
      <c r="L22" s="142">
        <v>4</v>
      </c>
      <c r="M22" s="142"/>
      <c r="N22" s="142"/>
      <c r="O22" s="142"/>
      <c r="P22" s="142"/>
    </row>
    <row r="23" spans="1:16" ht="12.75">
      <c r="A23" s="5" t="s">
        <v>2</v>
      </c>
      <c r="B23" s="5" t="s">
        <v>5</v>
      </c>
      <c r="C23" s="5" t="s">
        <v>4</v>
      </c>
      <c r="F23" s="46" t="s">
        <v>53</v>
      </c>
      <c r="G23" s="42">
        <v>4</v>
      </c>
      <c r="H23" s="47" t="s">
        <v>240</v>
      </c>
      <c r="I23" s="52" t="s">
        <v>29</v>
      </c>
      <c r="J23" s="145">
        <f>D9*24*30*H5/I25</f>
        <v>0.6834375</v>
      </c>
      <c r="L23" s="142"/>
      <c r="M23" s="142"/>
      <c r="N23" s="142"/>
      <c r="O23" s="142"/>
      <c r="P23" s="142"/>
    </row>
    <row r="24" spans="2:16" ht="12.75">
      <c r="B24" s="1"/>
      <c r="F24" s="46" t="s">
        <v>54</v>
      </c>
      <c r="G24" s="153">
        <v>0</v>
      </c>
      <c r="H24" s="5"/>
      <c r="I24" s="52" t="s">
        <v>30</v>
      </c>
      <c r="J24" s="147" t="s">
        <v>242</v>
      </c>
      <c r="L24" s="142">
        <v>1024</v>
      </c>
      <c r="M24" s="142"/>
      <c r="N24" s="142"/>
      <c r="O24" s="142"/>
      <c r="P24" s="142"/>
    </row>
    <row r="25" spans="1:16" ht="12.75">
      <c r="A25" s="1" t="s">
        <v>244</v>
      </c>
      <c r="F25" s="24" t="s">
        <v>55</v>
      </c>
      <c r="G25" s="48">
        <f>G22+G23+G24</f>
        <v>9</v>
      </c>
      <c r="H25" s="48"/>
      <c r="I25" s="148">
        <f>I22*1000/G25</f>
        <v>227555.55555555556</v>
      </c>
      <c r="J25" s="146">
        <f>D16*24*30*H5/I25</f>
        <v>0.6834375</v>
      </c>
      <c r="L25" s="142">
        <v>2048</v>
      </c>
      <c r="M25" s="142"/>
      <c r="N25" s="142"/>
      <c r="O25" s="142"/>
      <c r="P25" s="142"/>
    </row>
    <row r="26" spans="1:16" ht="12.75">
      <c r="A26" s="3"/>
      <c r="F26" s="5"/>
      <c r="G26" s="5"/>
      <c r="H26" s="5"/>
      <c r="I26" s="5"/>
      <c r="J26" s="16"/>
      <c r="M26" s="142"/>
      <c r="N26" s="142"/>
      <c r="O26" s="142"/>
      <c r="P26" s="142"/>
    </row>
    <row r="27" spans="1:16" ht="12.75">
      <c r="A27" s="26" t="s">
        <v>38</v>
      </c>
      <c r="C27" s="25"/>
      <c r="D27" s="25"/>
      <c r="F27" s="5"/>
      <c r="G27" s="16"/>
      <c r="H27" s="16"/>
      <c r="I27" s="15"/>
      <c r="J27" s="16"/>
      <c r="L27" s="142"/>
      <c r="M27" s="142"/>
      <c r="N27" s="142"/>
      <c r="O27" s="142"/>
      <c r="P27" s="142"/>
    </row>
    <row r="28" spans="1:16" ht="12.75">
      <c r="A28" s="37" t="s">
        <v>56</v>
      </c>
      <c r="L28" s="142"/>
      <c r="M28" s="142"/>
      <c r="N28" s="142"/>
      <c r="O28" s="142"/>
      <c r="P28" s="142"/>
    </row>
    <row r="29" spans="1:16" ht="12.75">
      <c r="A29" s="26" t="s">
        <v>39</v>
      </c>
      <c r="B29" s="3"/>
      <c r="L29" s="142"/>
      <c r="M29" s="142"/>
      <c r="N29" s="142"/>
      <c r="O29" s="142"/>
      <c r="P29" s="142"/>
    </row>
    <row r="30" spans="1:16" ht="12.75">
      <c r="A30" s="26"/>
      <c r="B30" s="25"/>
      <c r="L30" s="142"/>
      <c r="M30" s="142"/>
      <c r="N30" s="142"/>
      <c r="O30" s="142"/>
      <c r="P30" s="142"/>
    </row>
    <row r="31" spans="2:16" s="25" customFormat="1" ht="12.75">
      <c r="B31" s="3"/>
      <c r="C31" s="2"/>
      <c r="D31" s="2"/>
      <c r="G31" s="27"/>
      <c r="H31" s="27"/>
      <c r="I31" s="28"/>
      <c r="J31" s="27"/>
      <c r="L31" s="64"/>
      <c r="M31" s="64"/>
      <c r="N31" s="64"/>
      <c r="O31" s="64"/>
      <c r="P31" s="64"/>
    </row>
    <row r="32" spans="2:16" ht="12.75">
      <c r="B32" s="3"/>
      <c r="L32" s="142"/>
      <c r="M32" s="142"/>
      <c r="N32" s="142"/>
      <c r="O32" s="142"/>
      <c r="P32" s="142"/>
    </row>
    <row r="33" ht="12.75">
      <c r="B33" s="3"/>
    </row>
  </sheetData>
  <sheetProtection sheet="1" objects="1" scenarios="1" selectLockedCells="1"/>
  <dataValidations count="2">
    <dataValidation type="list" allowBlank="1" showInputMessage="1" showErrorMessage="1" sqref="I22">
      <formula1>$L$24:$L$25</formula1>
    </dataValidation>
    <dataValidation type="list" allowBlank="1" showInputMessage="1" showErrorMessage="1" sqref="G23">
      <formula1>$L$21:$L$22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P33"/>
  <sheetViews>
    <sheetView workbookViewId="0" topLeftCell="A1">
      <selection activeCell="D16" sqref="D16"/>
    </sheetView>
  </sheetViews>
  <sheetFormatPr defaultColWidth="9.140625" defaultRowHeight="12.75"/>
  <cols>
    <col min="1" max="1" width="15.57421875" style="2" customWidth="1"/>
    <col min="2" max="2" width="20.28125" style="2" customWidth="1"/>
    <col min="3" max="3" width="20.7109375" style="2" customWidth="1"/>
    <col min="4" max="4" width="14.7109375" style="2" customWidth="1"/>
    <col min="5" max="5" width="19.7109375" style="2" customWidth="1"/>
    <col min="6" max="6" width="12.8515625" style="2" customWidth="1"/>
    <col min="7" max="7" width="8.140625" style="7" customWidth="1"/>
    <col min="8" max="8" width="7.28125" style="7" customWidth="1"/>
    <col min="9" max="9" width="10.4218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58</v>
      </c>
      <c r="C1" s="35" t="s">
        <v>57</v>
      </c>
      <c r="D1" s="3" t="s">
        <v>34</v>
      </c>
      <c r="H1" s="2"/>
      <c r="I1" s="2"/>
      <c r="J1" s="2"/>
    </row>
    <row r="2" spans="2:3" ht="12.75">
      <c r="B2" s="5"/>
      <c r="C2" s="78" t="s">
        <v>139</v>
      </c>
    </row>
    <row r="3" spans="1:10" ht="12.75">
      <c r="A3" s="3"/>
      <c r="B3" s="5"/>
      <c r="C3" s="81"/>
      <c r="F3" s="117"/>
      <c r="G3" s="117"/>
      <c r="H3" s="150"/>
      <c r="I3" s="151"/>
      <c r="J3" s="152"/>
    </row>
    <row r="4" spans="1:10" ht="12.75">
      <c r="A4" s="3" t="s">
        <v>97</v>
      </c>
      <c r="B4" s="5"/>
      <c r="C4" s="5"/>
      <c r="F4" s="117"/>
      <c r="G4" s="117"/>
      <c r="H4" s="150"/>
      <c r="I4" s="151"/>
      <c r="J4" s="152"/>
    </row>
    <row r="5" spans="1:10" ht="12.75">
      <c r="A5" s="3"/>
      <c r="B5" s="42">
        <v>10</v>
      </c>
      <c r="C5" s="66">
        <f>0.005*0.5*B5</f>
        <v>0.025</v>
      </c>
      <c r="D5" s="29">
        <v>1</v>
      </c>
      <c r="F5" s="51"/>
      <c r="G5" s="51" t="s">
        <v>176</v>
      </c>
      <c r="H5" s="83">
        <v>12</v>
      </c>
      <c r="I5" s="84" t="s">
        <v>177</v>
      </c>
      <c r="J5" s="82"/>
    </row>
    <row r="6" spans="3:10" ht="12.75">
      <c r="C6" s="5" t="s">
        <v>4</v>
      </c>
      <c r="D6" s="2" t="s">
        <v>218</v>
      </c>
      <c r="F6" s="5"/>
      <c r="G6" s="16"/>
      <c r="H6" s="16"/>
      <c r="I6" s="15"/>
      <c r="J6" s="16"/>
    </row>
    <row r="7" spans="4:10" ht="12.75">
      <c r="D7" s="6"/>
      <c r="F7" s="85" t="s">
        <v>179</v>
      </c>
      <c r="G7" s="86" t="s">
        <v>235</v>
      </c>
      <c r="H7" s="87"/>
      <c r="I7" s="87" t="s">
        <v>20</v>
      </c>
      <c r="J7" s="88" t="s">
        <v>236</v>
      </c>
    </row>
    <row r="8" spans="1:10" s="3" customFormat="1" ht="12.75">
      <c r="A8" s="40" t="s">
        <v>48</v>
      </c>
      <c r="B8" s="41"/>
      <c r="F8" s="89" t="s">
        <v>15</v>
      </c>
      <c r="G8" s="16" t="s">
        <v>237</v>
      </c>
      <c r="H8" s="16" t="s">
        <v>184</v>
      </c>
      <c r="I8" s="15"/>
      <c r="J8" s="109"/>
    </row>
    <row r="9" spans="1:10" ht="12.75">
      <c r="A9" s="2">
        <v>0.03</v>
      </c>
      <c r="B9" s="49">
        <v>2.7</v>
      </c>
      <c r="C9" s="4">
        <f>A9*B9</f>
        <v>0.081</v>
      </c>
      <c r="D9" s="29">
        <v>15</v>
      </c>
      <c r="E9" s="4">
        <f>C9*D9+C22+(C5*D5)</f>
        <v>1.6</v>
      </c>
      <c r="F9" s="29">
        <v>5</v>
      </c>
      <c r="G9" s="92">
        <f>F9*150/E9</f>
        <v>468.75</v>
      </c>
      <c r="H9" s="140">
        <f>G9/30</f>
        <v>15.625</v>
      </c>
      <c r="I9" s="92">
        <f>G9*D9*24</f>
        <v>168750</v>
      </c>
      <c r="J9" s="94">
        <f>D9*24*30*H5/I9</f>
        <v>0.768</v>
      </c>
    </row>
    <row r="10" spans="1:10" ht="12.75">
      <c r="A10" s="2" t="s">
        <v>2</v>
      </c>
      <c r="B10" s="44" t="s">
        <v>59</v>
      </c>
      <c r="C10" s="5" t="s">
        <v>4</v>
      </c>
      <c r="D10" s="2" t="s">
        <v>6</v>
      </c>
      <c r="E10" s="5" t="s">
        <v>7</v>
      </c>
      <c r="F10" s="99" t="s">
        <v>50</v>
      </c>
      <c r="G10" s="100"/>
      <c r="H10" s="13"/>
      <c r="I10" s="14"/>
      <c r="J10" s="101"/>
    </row>
    <row r="11" spans="2:10" ht="12.75">
      <c r="B11"/>
      <c r="C11" s="4"/>
      <c r="D11" s="43">
        <f>60/D9</f>
        <v>4</v>
      </c>
      <c r="E11" s="3" t="s">
        <v>91</v>
      </c>
      <c r="G11" s="17"/>
      <c r="J11" s="102"/>
    </row>
    <row r="12" spans="2:10" ht="12.75">
      <c r="B12" s="143"/>
      <c r="C12" s="3"/>
      <c r="D12" s="98">
        <f>3600/D9</f>
        <v>240</v>
      </c>
      <c r="E12" s="3" t="s">
        <v>238</v>
      </c>
      <c r="J12" s="8"/>
    </row>
    <row r="13" spans="1:16" s="3" customFormat="1" ht="12.75">
      <c r="A13"/>
      <c r="B13" s="2"/>
      <c r="D13" s="141" t="s">
        <v>239</v>
      </c>
      <c r="J13" s="6"/>
      <c r="L13" s="112"/>
      <c r="M13" s="112"/>
      <c r="N13" s="112"/>
      <c r="O13" s="112"/>
      <c r="P13" s="112"/>
    </row>
    <row r="14" spans="6:16" ht="12.75">
      <c r="F14" s="85" t="s">
        <v>179</v>
      </c>
      <c r="G14" s="86" t="s">
        <v>235</v>
      </c>
      <c r="H14" s="87"/>
      <c r="I14" s="87" t="s">
        <v>20</v>
      </c>
      <c r="J14" s="88" t="s">
        <v>236</v>
      </c>
      <c r="L14" s="142"/>
      <c r="M14" s="142"/>
      <c r="N14" s="142"/>
      <c r="O14" s="142"/>
      <c r="P14" s="142"/>
    </row>
    <row r="15" spans="1:16" ht="12.75">
      <c r="A15" s="40" t="s">
        <v>52</v>
      </c>
      <c r="B15" s="3"/>
      <c r="C15" s="3"/>
      <c r="D15" s="3"/>
      <c r="E15" s="3"/>
      <c r="F15" s="89" t="s">
        <v>15</v>
      </c>
      <c r="G15" s="16" t="s">
        <v>237</v>
      </c>
      <c r="H15" s="16" t="s">
        <v>184</v>
      </c>
      <c r="I15" s="15"/>
      <c r="J15" s="109"/>
      <c r="L15" s="142"/>
      <c r="M15" s="142"/>
      <c r="N15" s="142"/>
      <c r="O15" s="142"/>
      <c r="P15" s="142"/>
    </row>
    <row r="16" spans="1:16" ht="12.75">
      <c r="A16" s="2">
        <v>0.03</v>
      </c>
      <c r="B16" s="49">
        <v>3.35</v>
      </c>
      <c r="C16" s="4">
        <f>A16*B16</f>
        <v>0.10049999999999999</v>
      </c>
      <c r="D16" s="29">
        <v>6</v>
      </c>
      <c r="E16" s="4">
        <f>C16*D16+C22+(C5*D5)</f>
        <v>0.9880000000000001</v>
      </c>
      <c r="F16" s="29">
        <v>5</v>
      </c>
      <c r="G16" s="92">
        <f>F16*150/E16</f>
        <v>759.1093117408906</v>
      </c>
      <c r="H16" s="140">
        <f>G16/30</f>
        <v>25.303643724696354</v>
      </c>
      <c r="I16" s="92">
        <f>G16*D16*24</f>
        <v>109311.74089068825</v>
      </c>
      <c r="J16" s="94">
        <f>D16*24*30*H5/I16</f>
        <v>0.47424000000000005</v>
      </c>
      <c r="L16" s="142"/>
      <c r="M16" s="142"/>
      <c r="N16" s="142"/>
      <c r="O16" s="142"/>
      <c r="P16" s="142"/>
    </row>
    <row r="17" spans="1:16" ht="12.75">
      <c r="A17" s="2" t="s">
        <v>2</v>
      </c>
      <c r="B17" s="44" t="s">
        <v>59</v>
      </c>
      <c r="C17" s="5" t="s">
        <v>4</v>
      </c>
      <c r="D17" s="2" t="s">
        <v>6</v>
      </c>
      <c r="E17" s="5" t="s">
        <v>7</v>
      </c>
      <c r="F17" s="99" t="s">
        <v>50</v>
      </c>
      <c r="G17" s="100"/>
      <c r="H17" s="13"/>
      <c r="I17" s="14"/>
      <c r="J17" s="101"/>
      <c r="L17" s="142"/>
      <c r="M17" s="142"/>
      <c r="N17" s="142"/>
      <c r="O17" s="142"/>
      <c r="P17" s="142"/>
    </row>
    <row r="18" spans="2:16" ht="12.75">
      <c r="B18"/>
      <c r="C18" s="4"/>
      <c r="D18" s="43">
        <f>60/D16</f>
        <v>10</v>
      </c>
      <c r="E18" s="3" t="s">
        <v>91</v>
      </c>
      <c r="J18" s="8"/>
      <c r="L18" s="142"/>
      <c r="M18" s="142"/>
      <c r="N18" s="142"/>
      <c r="O18" s="142"/>
      <c r="P18" s="142"/>
    </row>
    <row r="19" spans="2:16" ht="12.75">
      <c r="B19" s="36"/>
      <c r="C19" s="3"/>
      <c r="D19" s="98">
        <f>3600/D16</f>
        <v>600</v>
      </c>
      <c r="E19" s="3" t="s">
        <v>238</v>
      </c>
      <c r="J19" s="8"/>
      <c r="L19" s="142"/>
      <c r="M19" s="142"/>
      <c r="N19" s="142"/>
      <c r="O19" s="142"/>
      <c r="P19" s="142"/>
    </row>
    <row r="20" spans="1:16" ht="12.75">
      <c r="A20"/>
      <c r="C20"/>
      <c r="D20" s="141" t="s">
        <v>239</v>
      </c>
      <c r="J20" s="8"/>
      <c r="L20" s="142"/>
      <c r="M20" s="142"/>
      <c r="N20" s="142"/>
      <c r="O20" s="142"/>
      <c r="P20" s="142"/>
    </row>
    <row r="21" spans="1:16" ht="12.75">
      <c r="A21" s="1" t="s">
        <v>0</v>
      </c>
      <c r="B21"/>
      <c r="C21" s="1"/>
      <c r="D21" s="1"/>
      <c r="F21" s="85" t="s">
        <v>193</v>
      </c>
      <c r="G21" s="45"/>
      <c r="H21" s="45"/>
      <c r="I21" s="87" t="s">
        <v>136</v>
      </c>
      <c r="J21" s="144" t="s">
        <v>181</v>
      </c>
      <c r="L21" s="142">
        <v>0</v>
      </c>
      <c r="M21" s="142"/>
      <c r="N21" s="142"/>
      <c r="O21" s="142"/>
      <c r="P21" s="142"/>
    </row>
    <row r="22" spans="1:16" ht="12.75">
      <c r="A22" s="2">
        <v>0.0001</v>
      </c>
      <c r="B22" s="2">
        <v>3600</v>
      </c>
      <c r="C22" s="2">
        <f>A22*B22</f>
        <v>0.36000000000000004</v>
      </c>
      <c r="F22" s="46" t="s">
        <v>22</v>
      </c>
      <c r="G22" s="5">
        <v>5</v>
      </c>
      <c r="H22" s="5"/>
      <c r="I22" s="168">
        <v>2048</v>
      </c>
      <c r="J22" s="147" t="s">
        <v>241</v>
      </c>
      <c r="L22" s="142">
        <v>4</v>
      </c>
      <c r="M22" s="142"/>
      <c r="N22" s="142"/>
      <c r="O22" s="142"/>
      <c r="P22" s="142"/>
    </row>
    <row r="23" spans="1:16" ht="12.75">
      <c r="A23" s="5" t="s">
        <v>2</v>
      </c>
      <c r="B23" s="5" t="s">
        <v>5</v>
      </c>
      <c r="C23" s="5" t="s">
        <v>4</v>
      </c>
      <c r="F23" s="46" t="s">
        <v>53</v>
      </c>
      <c r="G23" s="42">
        <v>4</v>
      </c>
      <c r="H23" s="47" t="s">
        <v>240</v>
      </c>
      <c r="I23" s="52" t="s">
        <v>29</v>
      </c>
      <c r="J23" s="145">
        <f>D9*24*30*H5/I25</f>
        <v>0.6960937500000001</v>
      </c>
      <c r="L23" s="142"/>
      <c r="M23" s="142"/>
      <c r="N23" s="142"/>
      <c r="O23" s="142"/>
      <c r="P23" s="142"/>
    </row>
    <row r="24" spans="2:16" ht="12.75">
      <c r="B24" s="1"/>
      <c r="F24" s="46" t="s">
        <v>54</v>
      </c>
      <c r="G24" s="153">
        <v>2</v>
      </c>
      <c r="H24" s="5"/>
      <c r="I24" s="52" t="s">
        <v>30</v>
      </c>
      <c r="J24" s="147" t="s">
        <v>242</v>
      </c>
      <c r="L24" s="142">
        <v>1024</v>
      </c>
      <c r="M24" s="142"/>
      <c r="N24" s="142"/>
      <c r="O24" s="142"/>
      <c r="P24" s="142"/>
    </row>
    <row r="25" spans="1:16" ht="12.75">
      <c r="A25" s="1" t="s">
        <v>244</v>
      </c>
      <c r="F25" s="24" t="s">
        <v>55</v>
      </c>
      <c r="G25" s="48">
        <f>G22+G23+G24</f>
        <v>11</v>
      </c>
      <c r="H25" s="48"/>
      <c r="I25" s="148">
        <f>I22*1000/G25</f>
        <v>186181.81818181818</v>
      </c>
      <c r="J25" s="146">
        <f>D16*24*30*H5/I25</f>
        <v>0.2784375</v>
      </c>
      <c r="L25" s="142">
        <v>2048</v>
      </c>
      <c r="M25" s="142"/>
      <c r="N25" s="142"/>
      <c r="O25" s="142"/>
      <c r="P25" s="142"/>
    </row>
    <row r="26" spans="1:16" ht="12.75">
      <c r="A26" s="3"/>
      <c r="F26" s="5"/>
      <c r="G26" s="5"/>
      <c r="H26" s="5"/>
      <c r="I26" s="5"/>
      <c r="J26" s="16"/>
      <c r="M26" s="142"/>
      <c r="N26" s="142"/>
      <c r="O26" s="142"/>
      <c r="P26" s="142"/>
    </row>
    <row r="27" spans="1:16" ht="12.75">
      <c r="A27" s="26" t="s">
        <v>38</v>
      </c>
      <c r="C27" s="25"/>
      <c r="D27" s="25"/>
      <c r="F27" s="5"/>
      <c r="G27" s="16"/>
      <c r="H27" s="16"/>
      <c r="I27" s="15"/>
      <c r="J27" s="16"/>
      <c r="L27" s="142"/>
      <c r="M27" s="142"/>
      <c r="N27" s="142"/>
      <c r="O27" s="142"/>
      <c r="P27" s="142"/>
    </row>
    <row r="28" spans="1:16" ht="12.75">
      <c r="A28" s="37" t="s">
        <v>56</v>
      </c>
      <c r="L28" s="142"/>
      <c r="M28" s="142"/>
      <c r="N28" s="142"/>
      <c r="O28" s="142"/>
      <c r="P28" s="142"/>
    </row>
    <row r="29" spans="1:16" ht="12.75">
      <c r="A29" s="26" t="s">
        <v>39</v>
      </c>
      <c r="B29" s="3"/>
      <c r="L29" s="142"/>
      <c r="M29" s="142"/>
      <c r="N29" s="142"/>
      <c r="O29" s="142"/>
      <c r="P29" s="142"/>
    </row>
    <row r="30" spans="1:16" ht="12.75">
      <c r="A30" s="26"/>
      <c r="B30" s="25"/>
      <c r="L30" s="142"/>
      <c r="M30" s="142"/>
      <c r="N30" s="142"/>
      <c r="O30" s="142"/>
      <c r="P30" s="142"/>
    </row>
    <row r="31" spans="2:16" s="25" customFormat="1" ht="12.75">
      <c r="B31" s="3"/>
      <c r="C31" s="2"/>
      <c r="D31" s="2"/>
      <c r="G31" s="27"/>
      <c r="H31" s="27"/>
      <c r="I31" s="28"/>
      <c r="J31" s="27"/>
      <c r="L31" s="64"/>
      <c r="M31" s="64"/>
      <c r="N31" s="64"/>
      <c r="O31" s="64"/>
      <c r="P31" s="64"/>
    </row>
    <row r="32" spans="2:16" ht="12.75">
      <c r="B32" s="3"/>
      <c r="L32" s="142"/>
      <c r="M32" s="142"/>
      <c r="N32" s="142"/>
      <c r="O32" s="142"/>
      <c r="P32" s="142"/>
    </row>
    <row r="33" ht="12.75">
      <c r="B33" s="3"/>
    </row>
  </sheetData>
  <sheetProtection sheet="1" objects="1" scenarios="1" selectLockedCells="1"/>
  <dataValidations count="2">
    <dataValidation type="list" allowBlank="1" showInputMessage="1" showErrorMessage="1" sqref="I22">
      <formula1>$L$24:$L$25</formula1>
    </dataValidation>
    <dataValidation type="list" allowBlank="1" showInputMessage="1" showErrorMessage="1" sqref="G23">
      <formula1>$L$21:$L$22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A1:P36"/>
  <sheetViews>
    <sheetView workbookViewId="0" topLeftCell="A1">
      <selection activeCell="C2" sqref="C2"/>
    </sheetView>
  </sheetViews>
  <sheetFormatPr defaultColWidth="9.140625" defaultRowHeight="12.75"/>
  <cols>
    <col min="1" max="1" width="15.57421875" style="2" customWidth="1"/>
    <col min="2" max="2" width="20.28125" style="2" customWidth="1"/>
    <col min="3" max="3" width="20.7109375" style="2" customWidth="1"/>
    <col min="4" max="4" width="14.7109375" style="2" customWidth="1"/>
    <col min="5" max="5" width="19.7109375" style="2" customWidth="1"/>
    <col min="6" max="6" width="12.8515625" style="2" customWidth="1"/>
    <col min="7" max="7" width="8.140625" style="7" customWidth="1"/>
    <col min="8" max="8" width="7.28125" style="7" customWidth="1"/>
    <col min="9" max="9" width="10.4218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61</v>
      </c>
      <c r="C1" s="35" t="s">
        <v>47</v>
      </c>
      <c r="D1" s="3" t="s">
        <v>34</v>
      </c>
      <c r="H1" s="2"/>
      <c r="I1" s="2"/>
      <c r="J1" s="2"/>
    </row>
    <row r="2" spans="2:3" ht="12.75">
      <c r="B2" s="5"/>
      <c r="C2" s="78" t="s">
        <v>139</v>
      </c>
    </row>
    <row r="3" spans="1:10" ht="12.75">
      <c r="A3" s="3"/>
      <c r="B3" s="5"/>
      <c r="C3" s="81"/>
      <c r="F3" s="117"/>
      <c r="G3" s="117"/>
      <c r="H3" s="150"/>
      <c r="I3" s="151"/>
      <c r="J3" s="152"/>
    </row>
    <row r="4" spans="1:10" ht="12.75">
      <c r="A4" s="3" t="s">
        <v>97</v>
      </c>
      <c r="B4" s="5"/>
      <c r="C4" s="5"/>
      <c r="F4" s="117"/>
      <c r="G4" s="117"/>
      <c r="H4" s="150"/>
      <c r="I4" s="151"/>
      <c r="J4" s="152"/>
    </row>
    <row r="5" spans="1:10" ht="12.75">
      <c r="A5" s="3"/>
      <c r="B5" s="42">
        <v>10</v>
      </c>
      <c r="C5" s="66">
        <f>0.005*0.5*B5</f>
        <v>0.025</v>
      </c>
      <c r="D5" s="29">
        <v>1</v>
      </c>
      <c r="F5" s="51"/>
      <c r="G5" s="51" t="s">
        <v>176</v>
      </c>
      <c r="H5" s="83">
        <v>12</v>
      </c>
      <c r="I5" s="84" t="s">
        <v>177</v>
      </c>
      <c r="J5" s="82"/>
    </row>
    <row r="6" spans="3:10" ht="12.75">
      <c r="C6" s="5" t="s">
        <v>4</v>
      </c>
      <c r="D6" s="2" t="s">
        <v>218</v>
      </c>
      <c r="F6" s="5"/>
      <c r="G6" s="16"/>
      <c r="H6" s="16"/>
      <c r="I6" s="15"/>
      <c r="J6" s="16"/>
    </row>
    <row r="7" spans="4:10" ht="12.75">
      <c r="D7" s="6"/>
      <c r="F7" s="85" t="s">
        <v>179</v>
      </c>
      <c r="G7" s="86" t="s">
        <v>235</v>
      </c>
      <c r="H7" s="87"/>
      <c r="I7" s="87" t="s">
        <v>20</v>
      </c>
      <c r="J7" s="88" t="s">
        <v>236</v>
      </c>
    </row>
    <row r="8" spans="1:10" s="3" customFormat="1" ht="12.75">
      <c r="A8" s="40" t="s">
        <v>48</v>
      </c>
      <c r="B8" s="41"/>
      <c r="F8" s="89" t="s">
        <v>15</v>
      </c>
      <c r="G8" s="16" t="s">
        <v>237</v>
      </c>
      <c r="H8" s="16" t="s">
        <v>184</v>
      </c>
      <c r="I8" s="15"/>
      <c r="J8" s="109"/>
    </row>
    <row r="9" spans="1:10" ht="12.75">
      <c r="A9" s="2">
        <v>0.03</v>
      </c>
      <c r="B9" s="49">
        <v>2.7</v>
      </c>
      <c r="C9" s="4">
        <f>A9*B9</f>
        <v>0.081</v>
      </c>
      <c r="D9" s="29">
        <v>15</v>
      </c>
      <c r="E9" s="4">
        <f>C9*D9+((D9+1)*C25)+C22+(C5*D5)</f>
        <v>3.6799999999999997</v>
      </c>
      <c r="F9" s="29">
        <v>5</v>
      </c>
      <c r="G9" s="92">
        <f>F9*150/E9</f>
        <v>203.80434782608697</v>
      </c>
      <c r="H9" s="140">
        <f>G9/30</f>
        <v>6.793478260869565</v>
      </c>
      <c r="I9" s="92">
        <f>G9*D9*24</f>
        <v>73369.56521739131</v>
      </c>
      <c r="J9" s="94">
        <f>D9*24*30*H5/I9</f>
        <v>1.7663999999999997</v>
      </c>
    </row>
    <row r="10" spans="1:10" ht="12.75">
      <c r="A10" s="2" t="s">
        <v>2</v>
      </c>
      <c r="B10" s="44" t="s">
        <v>59</v>
      </c>
      <c r="C10" s="5" t="s">
        <v>4</v>
      </c>
      <c r="D10" s="2" t="s">
        <v>6</v>
      </c>
      <c r="E10" s="5" t="s">
        <v>7</v>
      </c>
      <c r="F10" s="99" t="s">
        <v>50</v>
      </c>
      <c r="G10" s="100"/>
      <c r="H10" s="13"/>
      <c r="I10" s="14"/>
      <c r="J10" s="101"/>
    </row>
    <row r="11" spans="2:10" ht="12.75">
      <c r="B11"/>
      <c r="C11" s="4"/>
      <c r="D11" s="43">
        <f>60/D9</f>
        <v>4</v>
      </c>
      <c r="E11" s="3" t="s">
        <v>91</v>
      </c>
      <c r="G11" s="17"/>
      <c r="J11" s="102"/>
    </row>
    <row r="12" spans="2:10" ht="12.75">
      <c r="B12" s="143"/>
      <c r="C12" s="3"/>
      <c r="D12" s="98">
        <f>3600/D9</f>
        <v>240</v>
      </c>
      <c r="E12" s="3" t="s">
        <v>238</v>
      </c>
      <c r="J12" s="8"/>
    </row>
    <row r="13" spans="1:16" s="3" customFormat="1" ht="12.75">
      <c r="A13"/>
      <c r="B13" s="2"/>
      <c r="D13" s="141" t="s">
        <v>239</v>
      </c>
      <c r="J13" s="6"/>
      <c r="L13" s="112"/>
      <c r="M13" s="112"/>
      <c r="N13" s="112"/>
      <c r="O13" s="112"/>
      <c r="P13" s="112"/>
    </row>
    <row r="14" spans="6:16" ht="12.75">
      <c r="F14" s="85" t="s">
        <v>179</v>
      </c>
      <c r="G14" s="86" t="s">
        <v>235</v>
      </c>
      <c r="H14" s="87"/>
      <c r="I14" s="87" t="s">
        <v>20</v>
      </c>
      <c r="J14" s="88" t="s">
        <v>236</v>
      </c>
      <c r="L14" s="142"/>
      <c r="M14" s="142"/>
      <c r="N14" s="142"/>
      <c r="O14" s="142"/>
      <c r="P14" s="142"/>
    </row>
    <row r="15" spans="1:16" ht="12.75">
      <c r="A15" s="40" t="s">
        <v>52</v>
      </c>
      <c r="B15" s="3"/>
      <c r="C15" s="3"/>
      <c r="D15" s="3"/>
      <c r="E15" s="3"/>
      <c r="F15" s="89" t="s">
        <v>15</v>
      </c>
      <c r="G15" s="16" t="s">
        <v>237</v>
      </c>
      <c r="H15" s="16" t="s">
        <v>184</v>
      </c>
      <c r="I15" s="15"/>
      <c r="J15" s="109"/>
      <c r="L15" s="142"/>
      <c r="M15" s="142"/>
      <c r="N15" s="142"/>
      <c r="O15" s="142"/>
      <c r="P15" s="142"/>
    </row>
    <row r="16" spans="1:16" ht="12.75">
      <c r="A16" s="2">
        <v>0.03</v>
      </c>
      <c r="B16" s="49">
        <v>3.45</v>
      </c>
      <c r="C16" s="4">
        <f>A16*B16</f>
        <v>0.1035</v>
      </c>
      <c r="D16" s="29">
        <v>10</v>
      </c>
      <c r="E16" s="4">
        <f>C16*D16+((D16+1)*C25)+C22+(C5*D5)</f>
        <v>2.8499999999999996</v>
      </c>
      <c r="F16" s="29">
        <v>5</v>
      </c>
      <c r="G16" s="92">
        <f>F16*150/E16</f>
        <v>263.15789473684214</v>
      </c>
      <c r="H16" s="140">
        <f>G16/30</f>
        <v>8.771929824561404</v>
      </c>
      <c r="I16" s="92">
        <f>G16*D16*24</f>
        <v>63157.89473684211</v>
      </c>
      <c r="J16" s="94">
        <f>D16*24*30*H5/I16</f>
        <v>1.3679999999999999</v>
      </c>
      <c r="L16" s="142"/>
      <c r="M16" s="142"/>
      <c r="N16" s="142"/>
      <c r="O16" s="142"/>
      <c r="P16" s="142"/>
    </row>
    <row r="17" spans="1:16" ht="12.75">
      <c r="A17" s="2" t="s">
        <v>2</v>
      </c>
      <c r="B17" s="44" t="s">
        <v>59</v>
      </c>
      <c r="C17" s="5" t="s">
        <v>4</v>
      </c>
      <c r="D17" s="2" t="s">
        <v>6</v>
      </c>
      <c r="E17" s="5" t="s">
        <v>7</v>
      </c>
      <c r="F17" s="99" t="s">
        <v>50</v>
      </c>
      <c r="G17" s="100"/>
      <c r="H17" s="13"/>
      <c r="I17" s="14"/>
      <c r="J17" s="101"/>
      <c r="L17" s="142"/>
      <c r="M17" s="142"/>
      <c r="N17" s="142"/>
      <c r="O17" s="142"/>
      <c r="P17" s="142"/>
    </row>
    <row r="18" spans="2:16" ht="12.75">
      <c r="B18"/>
      <c r="C18" s="4"/>
      <c r="D18" s="43">
        <f>60/D16</f>
        <v>6</v>
      </c>
      <c r="E18" s="3" t="s">
        <v>91</v>
      </c>
      <c r="J18" s="8"/>
      <c r="L18" s="142"/>
      <c r="M18" s="142"/>
      <c r="N18" s="142"/>
      <c r="O18" s="142"/>
      <c r="P18" s="142"/>
    </row>
    <row r="19" spans="2:16" ht="12.75">
      <c r="B19" s="36"/>
      <c r="C19" s="3"/>
      <c r="D19" s="98">
        <f>3600/D16</f>
        <v>360</v>
      </c>
      <c r="E19" s="3" t="s">
        <v>238</v>
      </c>
      <c r="J19" s="8"/>
      <c r="L19" s="142"/>
      <c r="M19" s="142"/>
      <c r="N19" s="142"/>
      <c r="O19" s="142"/>
      <c r="P19" s="142"/>
    </row>
    <row r="20" spans="1:16" ht="12.75">
      <c r="A20"/>
      <c r="C20"/>
      <c r="D20" s="141" t="s">
        <v>239</v>
      </c>
      <c r="J20" s="8"/>
      <c r="L20" s="142"/>
      <c r="M20" s="142"/>
      <c r="N20" s="142"/>
      <c r="O20" s="142"/>
      <c r="P20" s="142"/>
    </row>
    <row r="21" spans="1:16" ht="12.75">
      <c r="A21" s="1" t="s">
        <v>0</v>
      </c>
      <c r="B21"/>
      <c r="C21" s="1"/>
      <c r="D21" s="1"/>
      <c r="F21" s="85" t="s">
        <v>193</v>
      </c>
      <c r="G21" s="45"/>
      <c r="H21" s="45"/>
      <c r="I21" s="87"/>
      <c r="J21" s="144" t="s">
        <v>181</v>
      </c>
      <c r="L21" s="142">
        <v>0</v>
      </c>
      <c r="M21" s="142"/>
      <c r="N21" s="142"/>
      <c r="O21" s="142"/>
      <c r="P21" s="142"/>
    </row>
    <row r="22" spans="1:16" ht="12.75">
      <c r="A22" s="2">
        <v>0.0001</v>
      </c>
      <c r="B22" s="2">
        <v>3600</v>
      </c>
      <c r="C22" s="2">
        <f>A22*B22</f>
        <v>0.36000000000000004</v>
      </c>
      <c r="F22" s="46" t="s">
        <v>22</v>
      </c>
      <c r="G22" s="5">
        <v>5</v>
      </c>
      <c r="H22" s="5"/>
      <c r="I22" s="154"/>
      <c r="J22" s="147" t="s">
        <v>241</v>
      </c>
      <c r="L22" s="142">
        <v>4</v>
      </c>
      <c r="M22" s="142"/>
      <c r="N22" s="142"/>
      <c r="O22" s="142"/>
      <c r="P22" s="142"/>
    </row>
    <row r="23" spans="1:16" ht="12.75">
      <c r="A23" s="5" t="s">
        <v>2</v>
      </c>
      <c r="B23" s="5" t="s">
        <v>5</v>
      </c>
      <c r="C23" s="5" t="s">
        <v>4</v>
      </c>
      <c r="F23" s="46" t="s">
        <v>53</v>
      </c>
      <c r="G23" s="42">
        <v>4</v>
      </c>
      <c r="H23" s="47" t="s">
        <v>240</v>
      </c>
      <c r="I23" s="52" t="s">
        <v>29</v>
      </c>
      <c r="J23" s="145">
        <f>D9*24*30*H5/I25</f>
        <v>0.5695312499999999</v>
      </c>
      <c r="L23" s="142"/>
      <c r="M23" s="142"/>
      <c r="N23" s="142"/>
      <c r="O23" s="142"/>
      <c r="P23" s="142"/>
    </row>
    <row r="24" spans="1:16" ht="12.75">
      <c r="A24" s="3" t="s">
        <v>60</v>
      </c>
      <c r="B24" s="3"/>
      <c r="C24" s="4"/>
      <c r="F24" s="46" t="s">
        <v>54</v>
      </c>
      <c r="G24" s="153">
        <v>0</v>
      </c>
      <c r="H24" s="5"/>
      <c r="I24" s="52" t="s">
        <v>30</v>
      </c>
      <c r="J24" s="147" t="s">
        <v>242</v>
      </c>
      <c r="L24" s="142">
        <v>1024</v>
      </c>
      <c r="M24" s="142"/>
      <c r="N24" s="142"/>
      <c r="O24" s="142"/>
      <c r="P24" s="142"/>
    </row>
    <row r="25" spans="1:16" ht="12.75">
      <c r="A25" s="2">
        <v>0.26</v>
      </c>
      <c r="B25" s="49">
        <v>0.5</v>
      </c>
      <c r="C25" s="4">
        <f>A25*B25</f>
        <v>0.13</v>
      </c>
      <c r="F25" s="24" t="s">
        <v>55</v>
      </c>
      <c r="G25" s="48">
        <f>G22+G23+G24</f>
        <v>9</v>
      </c>
      <c r="H25" s="48"/>
      <c r="I25" s="148">
        <f>2048000/G25</f>
        <v>227555.55555555556</v>
      </c>
      <c r="J25" s="146">
        <f>D16*24*30*H5/I25</f>
        <v>0.3796875</v>
      </c>
      <c r="L25" s="142">
        <v>2048</v>
      </c>
      <c r="M25" s="142"/>
      <c r="N25" s="142"/>
      <c r="O25" s="142"/>
      <c r="P25" s="142"/>
    </row>
    <row r="26" spans="1:16" ht="12.75">
      <c r="A26" s="2" t="s">
        <v>2</v>
      </c>
      <c r="B26" s="2" t="s">
        <v>3</v>
      </c>
      <c r="C26" s="5" t="s">
        <v>4</v>
      </c>
      <c r="F26" s="5"/>
      <c r="G26" s="5"/>
      <c r="H26" s="5"/>
      <c r="I26" s="5"/>
      <c r="J26" s="16"/>
      <c r="M26" s="142"/>
      <c r="N26" s="142"/>
      <c r="O26" s="142"/>
      <c r="P26" s="142"/>
    </row>
    <row r="27" spans="2:16" ht="12.75">
      <c r="B27" s="1"/>
      <c r="F27" s="5"/>
      <c r="G27" s="16"/>
      <c r="H27" s="16"/>
      <c r="I27" s="15"/>
      <c r="J27" s="16"/>
      <c r="L27" s="142"/>
      <c r="M27" s="142"/>
      <c r="N27" s="142"/>
      <c r="O27" s="142"/>
      <c r="P27" s="142"/>
    </row>
    <row r="28" spans="1:16" ht="12.75">
      <c r="A28" s="1" t="s">
        <v>245</v>
      </c>
      <c r="L28" s="142"/>
      <c r="M28" s="142"/>
      <c r="N28" s="142"/>
      <c r="O28" s="142"/>
      <c r="P28" s="142"/>
    </row>
    <row r="29" spans="1:16" ht="12.75">
      <c r="A29" s="3"/>
      <c r="L29" s="142"/>
      <c r="M29" s="142"/>
      <c r="N29" s="142"/>
      <c r="O29" s="142"/>
      <c r="P29" s="142"/>
    </row>
    <row r="30" spans="1:16" ht="12.75">
      <c r="A30" s="26" t="s">
        <v>38</v>
      </c>
      <c r="C30" s="25"/>
      <c r="D30" s="25"/>
      <c r="L30" s="142"/>
      <c r="M30" s="142"/>
      <c r="N30" s="142"/>
      <c r="O30" s="142"/>
      <c r="P30" s="142"/>
    </row>
    <row r="31" spans="1:16" s="25" customFormat="1" ht="12.75">
      <c r="A31" s="37" t="s">
        <v>56</v>
      </c>
      <c r="B31" s="2"/>
      <c r="C31" s="2"/>
      <c r="D31" s="2"/>
      <c r="G31" s="27"/>
      <c r="H31" s="27"/>
      <c r="I31" s="28"/>
      <c r="J31" s="27"/>
      <c r="L31" s="64"/>
      <c r="M31" s="64"/>
      <c r="N31" s="64"/>
      <c r="O31" s="64"/>
      <c r="P31" s="64"/>
    </row>
    <row r="32" spans="1:16" ht="12.75">
      <c r="A32" s="26" t="s">
        <v>39</v>
      </c>
      <c r="B32" s="3"/>
      <c r="L32" s="142"/>
      <c r="M32" s="142"/>
      <c r="N32" s="142"/>
      <c r="O32" s="142"/>
      <c r="P32" s="142"/>
    </row>
    <row r="33" spans="1:2" ht="12.75">
      <c r="A33" s="26"/>
      <c r="B33" s="25"/>
    </row>
    <row r="34" spans="1:2" ht="12.75">
      <c r="A34" s="25"/>
      <c r="B34" s="3"/>
    </row>
    <row r="35" ht="12.75">
      <c r="B35" s="3"/>
    </row>
    <row r="36" ht="12.75">
      <c r="B36" s="3"/>
    </row>
  </sheetData>
  <sheetProtection sheet="1" objects="1" scenarios="1" selectLockedCells="1"/>
  <dataValidations count="1">
    <dataValidation type="list" allowBlank="1" showInputMessage="1" showErrorMessage="1" sqref="G23">
      <formula1>$L$21:$L$22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P36"/>
  <sheetViews>
    <sheetView workbookViewId="0" topLeftCell="A1">
      <selection activeCell="C2" sqref="C2"/>
    </sheetView>
  </sheetViews>
  <sheetFormatPr defaultColWidth="9.140625" defaultRowHeight="12.75"/>
  <cols>
    <col min="1" max="1" width="15.57421875" style="2" customWidth="1"/>
    <col min="2" max="2" width="20.28125" style="2" customWidth="1"/>
    <col min="3" max="3" width="20.7109375" style="2" customWidth="1"/>
    <col min="4" max="4" width="14.7109375" style="2" customWidth="1"/>
    <col min="5" max="5" width="19.7109375" style="2" customWidth="1"/>
    <col min="6" max="6" width="12.8515625" style="2" customWidth="1"/>
    <col min="7" max="7" width="8.140625" style="7" customWidth="1"/>
    <col min="8" max="8" width="7.28125" style="7" customWidth="1"/>
    <col min="9" max="9" width="10.4218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61</v>
      </c>
      <c r="C1" s="35" t="s">
        <v>57</v>
      </c>
      <c r="D1" s="3" t="s">
        <v>34</v>
      </c>
      <c r="H1" s="2"/>
      <c r="I1" s="2"/>
      <c r="J1" s="2"/>
    </row>
    <row r="2" spans="2:3" ht="12.75">
      <c r="B2" s="5"/>
      <c r="C2" s="78" t="s">
        <v>139</v>
      </c>
    </row>
    <row r="3" spans="1:10" ht="12.75">
      <c r="A3" s="3"/>
      <c r="B3" s="5"/>
      <c r="C3" s="81"/>
      <c r="F3" s="117"/>
      <c r="G3" s="117"/>
      <c r="H3" s="150"/>
      <c r="I3" s="151"/>
      <c r="J3" s="152"/>
    </row>
    <row r="4" spans="1:10" ht="12.75">
      <c r="A4" s="3" t="s">
        <v>97</v>
      </c>
      <c r="B4" s="5"/>
      <c r="C4" s="5"/>
      <c r="F4" s="117"/>
      <c r="G4" s="117"/>
      <c r="H4" s="150"/>
      <c r="I4" s="151"/>
      <c r="J4" s="152"/>
    </row>
    <row r="5" spans="1:10" ht="12.75">
      <c r="A5" s="3"/>
      <c r="B5" s="42">
        <v>10</v>
      </c>
      <c r="C5" s="66">
        <f>0.005*0.5*B5</f>
        <v>0.025</v>
      </c>
      <c r="D5" s="29">
        <v>1</v>
      </c>
      <c r="F5" s="51"/>
      <c r="G5" s="51" t="s">
        <v>176</v>
      </c>
      <c r="H5" s="83">
        <v>12</v>
      </c>
      <c r="I5" s="84" t="s">
        <v>177</v>
      </c>
      <c r="J5" s="82"/>
    </row>
    <row r="6" spans="3:10" ht="12.75">
      <c r="C6" s="5" t="s">
        <v>4</v>
      </c>
      <c r="D6" s="2" t="s">
        <v>218</v>
      </c>
      <c r="F6" s="5"/>
      <c r="G6" s="16"/>
      <c r="H6" s="16"/>
      <c r="I6" s="15"/>
      <c r="J6" s="16"/>
    </row>
    <row r="7" spans="4:10" ht="12.75">
      <c r="D7" s="6"/>
      <c r="F7" s="85" t="s">
        <v>179</v>
      </c>
      <c r="G7" s="86" t="s">
        <v>235</v>
      </c>
      <c r="H7" s="87"/>
      <c r="I7" s="87" t="s">
        <v>20</v>
      </c>
      <c r="J7" s="88" t="s">
        <v>236</v>
      </c>
    </row>
    <row r="8" spans="1:10" s="3" customFormat="1" ht="12.75">
      <c r="A8" s="40" t="s">
        <v>48</v>
      </c>
      <c r="B8" s="41"/>
      <c r="F8" s="89" t="s">
        <v>15</v>
      </c>
      <c r="G8" s="16" t="s">
        <v>237</v>
      </c>
      <c r="H8" s="16" t="s">
        <v>184</v>
      </c>
      <c r="I8" s="15"/>
      <c r="J8" s="109"/>
    </row>
    <row r="9" spans="1:10" ht="12.75">
      <c r="A9" s="2">
        <v>0.03</v>
      </c>
      <c r="B9" s="49">
        <v>3.2</v>
      </c>
      <c r="C9" s="4">
        <f>A9*B9</f>
        <v>0.096</v>
      </c>
      <c r="D9" s="29">
        <v>16</v>
      </c>
      <c r="E9" s="4">
        <f>C9*D9+((D9+1)*C25)+C22+(C5*D5)</f>
        <v>4.131</v>
      </c>
      <c r="F9" s="29">
        <v>5</v>
      </c>
      <c r="G9" s="92">
        <f>F9*150/E9</f>
        <v>181.55410312273057</v>
      </c>
      <c r="H9" s="140">
        <f>G9/30</f>
        <v>6.051803437424352</v>
      </c>
      <c r="I9" s="92">
        <f>G9*D9*24</f>
        <v>69716.77559912854</v>
      </c>
      <c r="J9" s="94">
        <f>D9*24*30*H5/I9</f>
        <v>1.98288</v>
      </c>
    </row>
    <row r="10" spans="1:10" ht="12.75">
      <c r="A10" s="2" t="s">
        <v>2</v>
      </c>
      <c r="B10" s="44" t="s">
        <v>59</v>
      </c>
      <c r="C10" s="5" t="s">
        <v>4</v>
      </c>
      <c r="D10" s="2" t="s">
        <v>6</v>
      </c>
      <c r="E10" s="5" t="s">
        <v>7</v>
      </c>
      <c r="F10" s="99" t="s">
        <v>50</v>
      </c>
      <c r="G10" s="100"/>
      <c r="H10" s="13"/>
      <c r="I10" s="14"/>
      <c r="J10" s="101"/>
    </row>
    <row r="11" spans="2:10" ht="12.75">
      <c r="B11"/>
      <c r="C11" s="4"/>
      <c r="D11" s="43">
        <f>60/D9</f>
        <v>3.75</v>
      </c>
      <c r="E11" s="3" t="s">
        <v>91</v>
      </c>
      <c r="G11" s="17"/>
      <c r="J11" s="102"/>
    </row>
    <row r="12" spans="2:10" ht="12.75">
      <c r="B12" s="143"/>
      <c r="C12" s="3"/>
      <c r="D12" s="98">
        <f>3600/D9</f>
        <v>225</v>
      </c>
      <c r="E12" s="3" t="s">
        <v>238</v>
      </c>
      <c r="J12" s="8"/>
    </row>
    <row r="13" spans="1:16" s="3" customFormat="1" ht="12.75">
      <c r="A13"/>
      <c r="B13" s="2"/>
      <c r="D13" s="141" t="s">
        <v>239</v>
      </c>
      <c r="J13" s="6"/>
      <c r="L13" s="112"/>
      <c r="M13" s="112"/>
      <c r="N13" s="112"/>
      <c r="O13" s="112"/>
      <c r="P13" s="112"/>
    </row>
    <row r="14" spans="6:16" ht="12.75">
      <c r="F14" s="85" t="s">
        <v>179</v>
      </c>
      <c r="G14" s="86" t="s">
        <v>235</v>
      </c>
      <c r="H14" s="87"/>
      <c r="I14" s="87" t="s">
        <v>20</v>
      </c>
      <c r="J14" s="88" t="s">
        <v>236</v>
      </c>
      <c r="L14" s="142"/>
      <c r="M14" s="142"/>
      <c r="N14" s="142"/>
      <c r="O14" s="142"/>
      <c r="P14" s="142"/>
    </row>
    <row r="15" spans="1:16" ht="12.75">
      <c r="A15" s="40" t="s">
        <v>52</v>
      </c>
      <c r="B15" s="3"/>
      <c r="C15" s="3"/>
      <c r="D15" s="3"/>
      <c r="E15" s="3"/>
      <c r="F15" s="89" t="s">
        <v>15</v>
      </c>
      <c r="G15" s="16" t="s">
        <v>237</v>
      </c>
      <c r="H15" s="16" t="s">
        <v>184</v>
      </c>
      <c r="I15" s="15"/>
      <c r="J15" s="109"/>
      <c r="L15" s="142"/>
      <c r="M15" s="142"/>
      <c r="N15" s="142"/>
      <c r="O15" s="142"/>
      <c r="P15" s="142"/>
    </row>
    <row r="16" spans="1:16" ht="12.75">
      <c r="A16" s="2">
        <v>0.03</v>
      </c>
      <c r="B16" s="49">
        <v>3.85</v>
      </c>
      <c r="C16" s="4">
        <f>A16*B16</f>
        <v>0.11549999999999999</v>
      </c>
      <c r="D16" s="29">
        <v>12</v>
      </c>
      <c r="E16" s="4">
        <f>C16*D16+((D16+1)*C25)+C22+(C5*D5)</f>
        <v>3.4609999999999994</v>
      </c>
      <c r="F16" s="29">
        <v>5</v>
      </c>
      <c r="G16" s="92">
        <f>F16*150/E16</f>
        <v>216.70037561398445</v>
      </c>
      <c r="H16" s="140">
        <f>G16/30</f>
        <v>7.223345853799482</v>
      </c>
      <c r="I16" s="92">
        <f>G16*D16*24</f>
        <v>62409.708176827524</v>
      </c>
      <c r="J16" s="94">
        <f>D16*24*30*H5/I16</f>
        <v>1.6612799999999996</v>
      </c>
      <c r="L16" s="142"/>
      <c r="M16" s="142"/>
      <c r="N16" s="142"/>
      <c r="O16" s="142"/>
      <c r="P16" s="142"/>
    </row>
    <row r="17" spans="1:16" ht="12.75">
      <c r="A17" s="2" t="s">
        <v>2</v>
      </c>
      <c r="B17" s="44" t="s">
        <v>59</v>
      </c>
      <c r="C17" s="5" t="s">
        <v>4</v>
      </c>
      <c r="D17" s="2" t="s">
        <v>6</v>
      </c>
      <c r="E17" s="5" t="s">
        <v>7</v>
      </c>
      <c r="F17" s="99" t="s">
        <v>50</v>
      </c>
      <c r="G17" s="100"/>
      <c r="H17" s="13"/>
      <c r="I17" s="14"/>
      <c r="J17" s="101"/>
      <c r="L17" s="142"/>
      <c r="M17" s="142"/>
      <c r="N17" s="142"/>
      <c r="O17" s="142"/>
      <c r="P17" s="142"/>
    </row>
    <row r="18" spans="2:16" ht="12.75">
      <c r="B18"/>
      <c r="C18" s="4"/>
      <c r="D18" s="43">
        <f>60/D16</f>
        <v>5</v>
      </c>
      <c r="E18" s="3" t="s">
        <v>91</v>
      </c>
      <c r="J18" s="8"/>
      <c r="L18" s="142"/>
      <c r="M18" s="142"/>
      <c r="N18" s="142"/>
      <c r="O18" s="142"/>
      <c r="P18" s="142"/>
    </row>
    <row r="19" spans="2:16" ht="12.75">
      <c r="B19" s="36"/>
      <c r="C19" s="3"/>
      <c r="D19" s="98">
        <f>3600/D16</f>
        <v>300</v>
      </c>
      <c r="E19" s="3" t="s">
        <v>238</v>
      </c>
      <c r="J19" s="8"/>
      <c r="L19" s="142"/>
      <c r="M19" s="142"/>
      <c r="N19" s="142"/>
      <c r="O19" s="142"/>
      <c r="P19" s="142"/>
    </row>
    <row r="20" spans="1:16" ht="12.75">
      <c r="A20"/>
      <c r="C20"/>
      <c r="D20" s="141" t="s">
        <v>239</v>
      </c>
      <c r="J20" s="8"/>
      <c r="L20" s="142"/>
      <c r="M20" s="142"/>
      <c r="N20" s="142"/>
      <c r="O20" s="142"/>
      <c r="P20" s="142"/>
    </row>
    <row r="21" spans="1:16" ht="12.75">
      <c r="A21" s="1" t="s">
        <v>0</v>
      </c>
      <c r="B21"/>
      <c r="C21" s="1"/>
      <c r="D21" s="1"/>
      <c r="F21" s="85" t="s">
        <v>193</v>
      </c>
      <c r="G21" s="45"/>
      <c r="H21" s="45"/>
      <c r="I21" s="87"/>
      <c r="J21" s="144" t="s">
        <v>181</v>
      </c>
      <c r="L21" s="142">
        <v>0</v>
      </c>
      <c r="M21" s="142"/>
      <c r="N21" s="142"/>
      <c r="O21" s="142"/>
      <c r="P21" s="142"/>
    </row>
    <row r="22" spans="1:16" ht="12.75">
      <c r="A22" s="2">
        <v>0.0001</v>
      </c>
      <c r="B22" s="2">
        <v>3600</v>
      </c>
      <c r="C22" s="2">
        <f>A22*B22</f>
        <v>0.36000000000000004</v>
      </c>
      <c r="F22" s="46" t="s">
        <v>22</v>
      </c>
      <c r="G22" s="5">
        <v>5</v>
      </c>
      <c r="H22" s="5"/>
      <c r="I22" s="154"/>
      <c r="J22" s="147" t="s">
        <v>241</v>
      </c>
      <c r="L22" s="142">
        <v>4</v>
      </c>
      <c r="M22" s="142"/>
      <c r="N22" s="142"/>
      <c r="O22" s="142"/>
      <c r="P22" s="142"/>
    </row>
    <row r="23" spans="1:16" ht="12.75">
      <c r="A23" s="5" t="s">
        <v>2</v>
      </c>
      <c r="B23" s="5" t="s">
        <v>5</v>
      </c>
      <c r="C23" s="5" t="s">
        <v>4</v>
      </c>
      <c r="F23" s="46" t="s">
        <v>53</v>
      </c>
      <c r="G23" s="42">
        <v>4</v>
      </c>
      <c r="H23" s="47" t="s">
        <v>240</v>
      </c>
      <c r="I23" s="52" t="s">
        <v>29</v>
      </c>
      <c r="J23" s="145">
        <f>D9*24*30*H5/I25</f>
        <v>0.7425</v>
      </c>
      <c r="L23" s="142"/>
      <c r="M23" s="142"/>
      <c r="N23" s="142"/>
      <c r="O23" s="142"/>
      <c r="P23" s="142"/>
    </row>
    <row r="24" spans="1:16" ht="12.75">
      <c r="A24" s="3" t="s">
        <v>60</v>
      </c>
      <c r="B24" s="3"/>
      <c r="C24" s="4"/>
      <c r="F24" s="46" t="s">
        <v>54</v>
      </c>
      <c r="G24" s="153">
        <v>2</v>
      </c>
      <c r="H24" s="5"/>
      <c r="I24" s="52" t="s">
        <v>30</v>
      </c>
      <c r="J24" s="147" t="s">
        <v>242</v>
      </c>
      <c r="L24" s="142"/>
      <c r="M24" s="142"/>
      <c r="N24" s="142"/>
      <c r="O24" s="142"/>
      <c r="P24" s="142"/>
    </row>
    <row r="25" spans="1:16" ht="12.75">
      <c r="A25" s="2">
        <v>0.26</v>
      </c>
      <c r="B25" s="49">
        <v>0.5</v>
      </c>
      <c r="C25" s="4">
        <f>A25*B25</f>
        <v>0.13</v>
      </c>
      <c r="F25" s="24" t="s">
        <v>55</v>
      </c>
      <c r="G25" s="48">
        <f>G22+G23+G24</f>
        <v>11</v>
      </c>
      <c r="H25" s="48"/>
      <c r="I25" s="148">
        <f>2048000/G25</f>
        <v>186181.81818181818</v>
      </c>
      <c r="J25" s="146">
        <f>D16*24*30*H5/I25</f>
        <v>0.556875</v>
      </c>
      <c r="L25" s="142"/>
      <c r="M25" s="142"/>
      <c r="N25" s="142"/>
      <c r="O25" s="142"/>
      <c r="P25" s="142"/>
    </row>
    <row r="26" spans="1:16" ht="12.75">
      <c r="A26" s="2" t="s">
        <v>2</v>
      </c>
      <c r="B26" s="2" t="s">
        <v>3</v>
      </c>
      <c r="C26" s="5" t="s">
        <v>4</v>
      </c>
      <c r="F26" s="5"/>
      <c r="G26" s="5"/>
      <c r="H26" s="5"/>
      <c r="I26" s="5"/>
      <c r="J26" s="16"/>
      <c r="M26" s="142"/>
      <c r="N26" s="142"/>
      <c r="O26" s="142"/>
      <c r="P26" s="142"/>
    </row>
    <row r="27" spans="2:16" ht="12.75">
      <c r="B27" s="1"/>
      <c r="F27" s="5"/>
      <c r="G27" s="16"/>
      <c r="H27" s="16"/>
      <c r="I27" s="15"/>
      <c r="J27" s="16"/>
      <c r="L27" s="142"/>
      <c r="M27" s="142"/>
      <c r="N27" s="142"/>
      <c r="O27" s="142"/>
      <c r="P27" s="142"/>
    </row>
    <row r="28" spans="1:16" ht="12.75">
      <c r="A28" s="1" t="s">
        <v>245</v>
      </c>
      <c r="L28" s="142"/>
      <c r="M28" s="142"/>
      <c r="N28" s="142"/>
      <c r="O28" s="142"/>
      <c r="P28" s="142"/>
    </row>
    <row r="29" spans="1:16" ht="12.75">
      <c r="A29" s="3"/>
      <c r="L29" s="142"/>
      <c r="M29" s="142"/>
      <c r="N29" s="142"/>
      <c r="O29" s="142"/>
      <c r="P29" s="142"/>
    </row>
    <row r="30" spans="1:16" ht="12.75">
      <c r="A30" s="26" t="s">
        <v>38</v>
      </c>
      <c r="C30" s="25"/>
      <c r="D30" s="25"/>
      <c r="L30" s="142"/>
      <c r="M30" s="142"/>
      <c r="N30" s="142"/>
      <c r="O30" s="142"/>
      <c r="P30" s="142"/>
    </row>
    <row r="31" spans="1:16" s="25" customFormat="1" ht="12.75">
      <c r="A31" s="37" t="s">
        <v>56</v>
      </c>
      <c r="B31" s="2"/>
      <c r="C31" s="2"/>
      <c r="D31" s="2"/>
      <c r="G31" s="27"/>
      <c r="H31" s="27"/>
      <c r="I31" s="28"/>
      <c r="J31" s="27"/>
      <c r="L31" s="64"/>
      <c r="M31" s="64"/>
      <c r="N31" s="64"/>
      <c r="O31" s="64"/>
      <c r="P31" s="64"/>
    </row>
    <row r="32" spans="1:16" ht="12.75">
      <c r="A32" s="26" t="s">
        <v>39</v>
      </c>
      <c r="B32" s="3"/>
      <c r="L32" s="142"/>
      <c r="M32" s="142"/>
      <c r="N32" s="142"/>
      <c r="O32" s="142"/>
      <c r="P32" s="142"/>
    </row>
    <row r="33" spans="1:2" ht="12.75">
      <c r="A33" s="26"/>
      <c r="B33" s="25"/>
    </row>
    <row r="34" spans="1:2" ht="12.75">
      <c r="A34" s="25"/>
      <c r="B34" s="3"/>
    </row>
    <row r="35" ht="12.75">
      <c r="B35" s="3"/>
    </row>
    <row r="36" ht="12.75">
      <c r="B36" s="3"/>
    </row>
  </sheetData>
  <sheetProtection sheet="1" objects="1" scenarios="1" selectLockedCells="1"/>
  <dataValidations count="1">
    <dataValidation type="list" allowBlank="1" showInputMessage="1" showErrorMessage="1" sqref="G23">
      <formula1>$L$21:$L$22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2"/>
  </sheetPr>
  <dimension ref="A1:P32"/>
  <sheetViews>
    <sheetView workbookViewId="0" topLeftCell="A1">
      <selection activeCell="H2" sqref="H2"/>
    </sheetView>
  </sheetViews>
  <sheetFormatPr defaultColWidth="9.140625" defaultRowHeight="12.75"/>
  <cols>
    <col min="1" max="1" width="15.57421875" style="2" customWidth="1"/>
    <col min="2" max="2" width="20.28125" style="2" customWidth="1"/>
    <col min="3" max="3" width="20.7109375" style="2" customWidth="1"/>
    <col min="4" max="4" width="14.7109375" style="2" customWidth="1"/>
    <col min="5" max="5" width="19.7109375" style="2" customWidth="1"/>
    <col min="6" max="6" width="12.8515625" style="2" customWidth="1"/>
    <col min="7" max="7" width="8.140625" style="7" customWidth="1"/>
    <col min="8" max="8" width="7.28125" style="7" customWidth="1"/>
    <col min="9" max="9" width="10.4218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46</v>
      </c>
      <c r="C1" s="65" t="s">
        <v>89</v>
      </c>
      <c r="D1" s="41"/>
      <c r="H1" s="2"/>
      <c r="I1" s="2"/>
      <c r="J1" s="2"/>
    </row>
    <row r="2" spans="1:10" ht="12.75">
      <c r="A2" s="3" t="s">
        <v>34</v>
      </c>
      <c r="B2" s="5"/>
      <c r="C2" s="78" t="s">
        <v>139</v>
      </c>
      <c r="F2" s="51"/>
      <c r="G2" s="51" t="s">
        <v>176</v>
      </c>
      <c r="H2" s="83">
        <v>6</v>
      </c>
      <c r="I2" s="84" t="s">
        <v>177</v>
      </c>
      <c r="J2" s="82"/>
    </row>
    <row r="3" spans="6:10" ht="12.75">
      <c r="F3" s="5"/>
      <c r="G3" s="16"/>
      <c r="H3" s="16"/>
      <c r="I3" s="15"/>
      <c r="J3" s="16"/>
    </row>
    <row r="4" spans="1:10" ht="12.75">
      <c r="A4" s="40" t="s">
        <v>48</v>
      </c>
      <c r="B4" s="41"/>
      <c r="D4" s="6"/>
      <c r="F4" s="85" t="s">
        <v>179</v>
      </c>
      <c r="G4" s="86" t="s">
        <v>235</v>
      </c>
      <c r="H4" s="87"/>
      <c r="I4" s="87" t="s">
        <v>20</v>
      </c>
      <c r="J4" s="88" t="s">
        <v>236</v>
      </c>
    </row>
    <row r="5" spans="1:10" s="3" customFormat="1" ht="12.75">
      <c r="A5" s="3" t="s">
        <v>87</v>
      </c>
      <c r="F5" s="89" t="s">
        <v>15</v>
      </c>
      <c r="G5" s="16" t="s">
        <v>237</v>
      </c>
      <c r="H5" s="16" t="s">
        <v>184</v>
      </c>
      <c r="I5" s="15"/>
      <c r="J5" s="109"/>
    </row>
    <row r="6" spans="1:10" ht="12.75">
      <c r="A6" s="2">
        <v>0.02</v>
      </c>
      <c r="B6" s="42">
        <v>1</v>
      </c>
      <c r="C6" s="4">
        <f>A6*B9</f>
        <v>0.0466</v>
      </c>
      <c r="D6" s="29">
        <v>20</v>
      </c>
      <c r="E6" s="4">
        <f>C6*D6+C21</f>
        <v>0.9680000000000001</v>
      </c>
      <c r="F6" s="29">
        <v>5</v>
      </c>
      <c r="G6" s="92">
        <f>F6*150/E6</f>
        <v>774.793388429752</v>
      </c>
      <c r="H6" s="140">
        <f>G6/30</f>
        <v>25.826446280991732</v>
      </c>
      <c r="I6" s="92">
        <f>G6*D6*24</f>
        <v>371900.82644628093</v>
      </c>
      <c r="J6" s="94">
        <f>D6*24*30*H2/I6</f>
        <v>0.23232000000000003</v>
      </c>
    </row>
    <row r="7" spans="1:10" ht="12.75">
      <c r="A7" s="2" t="s">
        <v>2</v>
      </c>
      <c r="B7" t="s">
        <v>49</v>
      </c>
      <c r="C7" s="5" t="s">
        <v>4</v>
      </c>
      <c r="D7" s="2" t="s">
        <v>6</v>
      </c>
      <c r="E7" s="5" t="s">
        <v>7</v>
      </c>
      <c r="F7" s="99" t="s">
        <v>50</v>
      </c>
      <c r="G7" s="100"/>
      <c r="H7" s="13"/>
      <c r="I7" s="14"/>
      <c r="J7" s="101"/>
    </row>
    <row r="8" spans="2:10" ht="12.75">
      <c r="B8" t="s">
        <v>51</v>
      </c>
      <c r="C8" s="4"/>
      <c r="G8" s="17"/>
      <c r="J8" s="102"/>
    </row>
    <row r="9" spans="2:10" ht="12.75">
      <c r="B9" s="98">
        <f>2.33+(0.87*(B6-1))</f>
        <v>2.33</v>
      </c>
      <c r="C9" s="3" t="s">
        <v>90</v>
      </c>
      <c r="D9" s="43">
        <f>60/D6</f>
        <v>3</v>
      </c>
      <c r="E9" s="3" t="s">
        <v>91</v>
      </c>
      <c r="J9" s="8"/>
    </row>
    <row r="10" spans="1:16" s="3" customFormat="1" ht="12.75">
      <c r="A10"/>
      <c r="B10" s="2"/>
      <c r="D10" s="98">
        <f>3600/D6</f>
        <v>180</v>
      </c>
      <c r="E10" s="3" t="s">
        <v>238</v>
      </c>
      <c r="J10" s="6"/>
      <c r="L10" s="112"/>
      <c r="M10" s="112"/>
      <c r="N10" s="112"/>
      <c r="O10" s="112"/>
      <c r="P10" s="112"/>
    </row>
    <row r="11" spans="1:16" s="3" customFormat="1" ht="12.75">
      <c r="A11"/>
      <c r="B11" s="2"/>
      <c r="D11" s="141" t="s">
        <v>239</v>
      </c>
      <c r="J11" s="6"/>
      <c r="L11" s="112"/>
      <c r="M11" s="112"/>
      <c r="N11" s="112"/>
      <c r="O11" s="112"/>
      <c r="P11" s="112"/>
    </row>
    <row r="12" spans="1:16" ht="12.75">
      <c r="A12" s="40" t="s">
        <v>52</v>
      </c>
      <c r="F12" s="85" t="s">
        <v>179</v>
      </c>
      <c r="G12" s="86" t="s">
        <v>235</v>
      </c>
      <c r="H12" s="87"/>
      <c r="I12" s="87" t="s">
        <v>20</v>
      </c>
      <c r="J12" s="88" t="s">
        <v>236</v>
      </c>
      <c r="L12" s="142"/>
      <c r="M12" s="142"/>
      <c r="N12" s="142"/>
      <c r="O12" s="142"/>
      <c r="P12" s="142"/>
    </row>
    <row r="13" spans="1:16" ht="12.75">
      <c r="A13" s="3" t="s">
        <v>88</v>
      </c>
      <c r="B13" s="3"/>
      <c r="C13" s="3"/>
      <c r="D13" s="3"/>
      <c r="E13" s="3"/>
      <c r="F13" s="89" t="s">
        <v>15</v>
      </c>
      <c r="G13" s="16" t="s">
        <v>237</v>
      </c>
      <c r="H13" s="16" t="s">
        <v>184</v>
      </c>
      <c r="I13" s="15"/>
      <c r="J13" s="109"/>
      <c r="L13" s="142"/>
      <c r="M13" s="142"/>
      <c r="N13" s="142"/>
      <c r="O13" s="142"/>
      <c r="P13" s="142"/>
    </row>
    <row r="14" spans="1:16" ht="12.75">
      <c r="A14" s="2">
        <v>0.039</v>
      </c>
      <c r="B14" s="42">
        <v>1</v>
      </c>
      <c r="C14" s="4">
        <f>A14*B17</f>
        <v>0.04758</v>
      </c>
      <c r="D14" s="29">
        <v>6</v>
      </c>
      <c r="E14" s="4">
        <f>C14*D14+C21</f>
        <v>0.32148</v>
      </c>
      <c r="F14" s="29">
        <v>5</v>
      </c>
      <c r="G14" s="92">
        <f>F14*150/E14</f>
        <v>2332.9600597237777</v>
      </c>
      <c r="H14" s="140">
        <f>G14/30</f>
        <v>77.76533532412593</v>
      </c>
      <c r="I14" s="92">
        <f>G14*D14*24</f>
        <v>335946.248600224</v>
      </c>
      <c r="J14" s="94">
        <f>D14*24*30*H2/I14</f>
        <v>0.0771552</v>
      </c>
      <c r="L14" s="142"/>
      <c r="M14" s="142"/>
      <c r="N14" s="142"/>
      <c r="O14" s="142"/>
      <c r="P14" s="142"/>
    </row>
    <row r="15" spans="1:16" ht="12.75">
      <c r="A15" s="2" t="s">
        <v>2</v>
      </c>
      <c r="B15" t="s">
        <v>49</v>
      </c>
      <c r="C15" s="5" t="s">
        <v>4</v>
      </c>
      <c r="D15" s="2" t="s">
        <v>6</v>
      </c>
      <c r="E15" s="5" t="s">
        <v>7</v>
      </c>
      <c r="F15" s="99" t="s">
        <v>50</v>
      </c>
      <c r="G15" s="100"/>
      <c r="H15" s="13"/>
      <c r="I15" s="14"/>
      <c r="J15" s="101"/>
      <c r="L15" s="142"/>
      <c r="M15" s="142"/>
      <c r="N15" s="142"/>
      <c r="O15" s="142"/>
      <c r="P15" s="142"/>
    </row>
    <row r="16" spans="2:16" ht="12.75">
      <c r="B16" t="s">
        <v>51</v>
      </c>
      <c r="C16" s="4"/>
      <c r="J16" s="8"/>
      <c r="L16" s="142"/>
      <c r="M16" s="142"/>
      <c r="N16" s="142"/>
      <c r="O16" s="142"/>
      <c r="P16" s="142"/>
    </row>
    <row r="17" spans="2:16" ht="12.75">
      <c r="B17" s="149">
        <f>1.22+(0.87*(B14-1))</f>
        <v>1.22</v>
      </c>
      <c r="C17" s="3" t="s">
        <v>90</v>
      </c>
      <c r="D17" s="43">
        <f>60/D14</f>
        <v>10</v>
      </c>
      <c r="E17" s="3" t="s">
        <v>91</v>
      </c>
      <c r="J17" s="8"/>
      <c r="L17" s="142"/>
      <c r="M17" s="142"/>
      <c r="N17" s="142"/>
      <c r="O17" s="142"/>
      <c r="P17" s="142"/>
    </row>
    <row r="18" spans="1:16" ht="12.75">
      <c r="A18"/>
      <c r="C18"/>
      <c r="D18" s="98">
        <f>3600/D14</f>
        <v>600</v>
      </c>
      <c r="E18" s="3" t="s">
        <v>238</v>
      </c>
      <c r="J18" s="8"/>
      <c r="L18" s="142"/>
      <c r="M18" s="142"/>
      <c r="N18" s="142"/>
      <c r="O18" s="142"/>
      <c r="P18" s="142"/>
    </row>
    <row r="19" spans="1:16" ht="12.75">
      <c r="A19"/>
      <c r="C19"/>
      <c r="D19" s="141" t="s">
        <v>239</v>
      </c>
      <c r="J19" s="8"/>
      <c r="L19" s="142"/>
      <c r="M19" s="142"/>
      <c r="N19" s="142"/>
      <c r="O19" s="142"/>
      <c r="P19" s="142"/>
    </row>
    <row r="20" spans="1:16" ht="12.75">
      <c r="A20" s="1" t="s">
        <v>0</v>
      </c>
      <c r="B20"/>
      <c r="C20" s="1"/>
      <c r="D20" s="1"/>
      <c r="F20" s="85" t="s">
        <v>193</v>
      </c>
      <c r="G20" s="45"/>
      <c r="H20" s="45"/>
      <c r="I20" s="87" t="s">
        <v>136</v>
      </c>
      <c r="J20" s="144" t="s">
        <v>181</v>
      </c>
      <c r="M20" s="142"/>
      <c r="N20" s="142"/>
      <c r="O20" s="142"/>
      <c r="P20" s="142"/>
    </row>
    <row r="21" spans="1:16" ht="12.75">
      <c r="A21" s="2">
        <v>1E-05</v>
      </c>
      <c r="B21" s="2">
        <v>3600</v>
      </c>
      <c r="C21" s="2">
        <f>A21*B21</f>
        <v>0.036000000000000004</v>
      </c>
      <c r="F21" s="46" t="s">
        <v>22</v>
      </c>
      <c r="G21" s="5">
        <v>5</v>
      </c>
      <c r="H21" s="5"/>
      <c r="I21" s="168">
        <v>2048</v>
      </c>
      <c r="J21" s="147" t="s">
        <v>241</v>
      </c>
      <c r="L21" s="142">
        <v>0</v>
      </c>
      <c r="M21" s="142"/>
      <c r="N21" s="142"/>
      <c r="O21" s="142"/>
      <c r="P21" s="142"/>
    </row>
    <row r="22" spans="1:16" ht="12.75">
      <c r="A22" s="5" t="s">
        <v>2</v>
      </c>
      <c r="B22" s="5" t="s">
        <v>5</v>
      </c>
      <c r="C22" s="5" t="s">
        <v>4</v>
      </c>
      <c r="F22" s="46" t="s">
        <v>53</v>
      </c>
      <c r="G22" s="42">
        <v>4</v>
      </c>
      <c r="H22" s="47" t="s">
        <v>240</v>
      </c>
      <c r="I22" s="52" t="s">
        <v>29</v>
      </c>
      <c r="J22" s="145">
        <f>D6*24*30*H2/I24</f>
        <v>0.3796875</v>
      </c>
      <c r="L22" s="142">
        <v>4</v>
      </c>
      <c r="M22" s="142"/>
      <c r="N22" s="142"/>
      <c r="O22" s="142"/>
      <c r="P22" s="142"/>
    </row>
    <row r="23" spans="2:16" ht="12.75">
      <c r="B23" s="1"/>
      <c r="F23" s="46" t="s">
        <v>54</v>
      </c>
      <c r="G23" s="153">
        <v>0</v>
      </c>
      <c r="H23" s="5"/>
      <c r="I23" s="52" t="s">
        <v>30</v>
      </c>
      <c r="J23" s="147" t="s">
        <v>242</v>
      </c>
      <c r="L23" s="142"/>
      <c r="M23" s="142"/>
      <c r="N23" s="142"/>
      <c r="O23" s="142"/>
      <c r="P23" s="142"/>
    </row>
    <row r="24" spans="1:16" ht="12.75">
      <c r="A24" s="1" t="s">
        <v>243</v>
      </c>
      <c r="F24" s="24" t="s">
        <v>55</v>
      </c>
      <c r="G24" s="48">
        <f>G21+G22+G23</f>
        <v>9</v>
      </c>
      <c r="H24" s="48"/>
      <c r="I24" s="148">
        <f>I21*1000/G24</f>
        <v>227555.55555555556</v>
      </c>
      <c r="J24" s="146">
        <f>D14*24*30*H2/I24</f>
        <v>0.11390625</v>
      </c>
      <c r="L24" s="142">
        <v>1024</v>
      </c>
      <c r="M24" s="142"/>
      <c r="N24" s="142"/>
      <c r="O24" s="142"/>
      <c r="P24" s="142"/>
    </row>
    <row r="25" spans="1:16" ht="12.75">
      <c r="A25" s="3"/>
      <c r="F25" s="5"/>
      <c r="G25" s="5"/>
      <c r="H25" s="5"/>
      <c r="I25" s="5"/>
      <c r="J25" s="16"/>
      <c r="L25" s="142">
        <v>2048</v>
      </c>
      <c r="M25" s="142"/>
      <c r="N25" s="142"/>
      <c r="O25" s="142"/>
      <c r="P25" s="142"/>
    </row>
    <row r="26" spans="1:16" ht="12.75">
      <c r="A26" s="26" t="s">
        <v>38</v>
      </c>
      <c r="C26" s="25"/>
      <c r="D26" s="25"/>
      <c r="F26" s="5"/>
      <c r="G26" s="16"/>
      <c r="H26" s="16"/>
      <c r="I26" s="15"/>
      <c r="J26" s="16"/>
      <c r="L26" s="142"/>
      <c r="M26" s="142"/>
      <c r="N26" s="142"/>
      <c r="O26" s="142"/>
      <c r="P26" s="142"/>
    </row>
    <row r="27" spans="1:16" ht="12.75">
      <c r="A27" s="37" t="s">
        <v>56</v>
      </c>
      <c r="L27" s="142"/>
      <c r="M27" s="142"/>
      <c r="N27" s="142"/>
      <c r="O27" s="142"/>
      <c r="P27" s="142"/>
    </row>
    <row r="28" spans="1:16" ht="12.75">
      <c r="A28" s="26" t="s">
        <v>39</v>
      </c>
      <c r="B28" s="3"/>
      <c r="L28" s="142"/>
      <c r="M28" s="142"/>
      <c r="N28" s="142"/>
      <c r="O28" s="142"/>
      <c r="P28" s="142"/>
    </row>
    <row r="29" spans="1:16" ht="12.75">
      <c r="A29" s="26"/>
      <c r="B29" s="25"/>
      <c r="L29" s="142"/>
      <c r="M29" s="142"/>
      <c r="N29" s="142"/>
      <c r="O29" s="142"/>
      <c r="P29" s="142"/>
    </row>
    <row r="30" spans="2:16" s="25" customFormat="1" ht="12.75">
      <c r="B30" s="3"/>
      <c r="C30" s="2"/>
      <c r="D30" s="2"/>
      <c r="G30" s="27"/>
      <c r="H30" s="27"/>
      <c r="I30" s="28"/>
      <c r="J30" s="27"/>
      <c r="L30" s="64"/>
      <c r="M30" s="64"/>
      <c r="N30" s="64"/>
      <c r="O30" s="64"/>
      <c r="P30" s="64"/>
    </row>
    <row r="31" spans="2:16" ht="12.75">
      <c r="B31" s="3"/>
      <c r="L31" s="142"/>
      <c r="M31" s="142"/>
      <c r="N31" s="142"/>
      <c r="O31" s="142"/>
      <c r="P31" s="142"/>
    </row>
    <row r="32" ht="12.75">
      <c r="B32" s="3"/>
    </row>
  </sheetData>
  <sheetProtection sheet="1" objects="1" scenarios="1" selectLockedCells="1"/>
  <dataValidations count="2">
    <dataValidation type="list" allowBlank="1" showInputMessage="1" showErrorMessage="1" sqref="G22">
      <formula1>$L$21:$L$22</formula1>
    </dataValidation>
    <dataValidation type="list" allowBlank="1" showInputMessage="1" showErrorMessage="1" sqref="I21">
      <formula1>$L$24:$L$25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B16"/>
  <sheetViews>
    <sheetView workbookViewId="0" topLeftCell="A1">
      <selection activeCell="C16" sqref="C16"/>
    </sheetView>
  </sheetViews>
  <sheetFormatPr defaultColWidth="9.140625" defaultRowHeight="12.75"/>
  <cols>
    <col min="1" max="1" width="12.421875" style="0" customWidth="1"/>
  </cols>
  <sheetData>
    <row r="1" ht="12.75">
      <c r="A1" s="37" t="s">
        <v>171</v>
      </c>
    </row>
    <row r="2" ht="12.75">
      <c r="A2" s="37"/>
    </row>
    <row r="3" ht="12.75">
      <c r="A3" t="s">
        <v>172</v>
      </c>
    </row>
    <row r="5" spans="1:2" ht="12.75">
      <c r="A5" s="127" t="s">
        <v>230</v>
      </c>
      <c r="B5" t="s">
        <v>231</v>
      </c>
    </row>
    <row r="6" spans="1:2" ht="12.75">
      <c r="A6" s="128" t="s">
        <v>232</v>
      </c>
      <c r="B6" t="s">
        <v>233</v>
      </c>
    </row>
    <row r="7" spans="1:2" ht="12.75">
      <c r="A7" s="129" t="s">
        <v>282</v>
      </c>
      <c r="B7" t="s">
        <v>234</v>
      </c>
    </row>
    <row r="8" ht="12.75">
      <c r="A8" s="165"/>
    </row>
    <row r="9" ht="12.75">
      <c r="A9" t="s">
        <v>273</v>
      </c>
    </row>
    <row r="10" ht="12.75">
      <c r="A10" t="s">
        <v>274</v>
      </c>
    </row>
    <row r="11" ht="12.75">
      <c r="A11" t="s">
        <v>229</v>
      </c>
    </row>
    <row r="13" ht="12.75">
      <c r="A13" t="s">
        <v>281</v>
      </c>
    </row>
    <row r="14" ht="12.75">
      <c r="B14" t="s">
        <v>279</v>
      </c>
    </row>
    <row r="16" ht="12.75">
      <c r="A16" t="s">
        <v>280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2"/>
  </sheetPr>
  <dimension ref="A1:P32"/>
  <sheetViews>
    <sheetView workbookViewId="0" topLeftCell="A1">
      <selection activeCell="C2" sqref="C2"/>
    </sheetView>
  </sheetViews>
  <sheetFormatPr defaultColWidth="9.140625" defaultRowHeight="12.75"/>
  <cols>
    <col min="1" max="1" width="15.57421875" style="2" customWidth="1"/>
    <col min="2" max="2" width="20.28125" style="2" customWidth="1"/>
    <col min="3" max="3" width="20.7109375" style="2" customWidth="1"/>
    <col min="4" max="4" width="14.7109375" style="2" customWidth="1"/>
    <col min="5" max="5" width="19.7109375" style="2" customWidth="1"/>
    <col min="6" max="6" width="12.8515625" style="2" customWidth="1"/>
    <col min="7" max="7" width="8.140625" style="7" customWidth="1"/>
    <col min="8" max="8" width="7.28125" style="7" customWidth="1"/>
    <col min="9" max="9" width="10.4218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46</v>
      </c>
      <c r="C1" s="65" t="s">
        <v>92</v>
      </c>
      <c r="D1" s="41"/>
      <c r="H1" s="2"/>
      <c r="I1" s="2"/>
      <c r="J1" s="2"/>
    </row>
    <row r="2" spans="1:10" ht="12.75">
      <c r="A2" s="3" t="s">
        <v>34</v>
      </c>
      <c r="B2" s="5"/>
      <c r="C2" s="78" t="s">
        <v>139</v>
      </c>
      <c r="F2" s="51"/>
      <c r="G2" s="51" t="s">
        <v>176</v>
      </c>
      <c r="H2" s="83">
        <v>12</v>
      </c>
      <c r="I2" s="84" t="s">
        <v>177</v>
      </c>
      <c r="J2" s="82"/>
    </row>
    <row r="3" spans="6:10" ht="12.75">
      <c r="F3" s="5"/>
      <c r="G3" s="16"/>
      <c r="H3" s="16"/>
      <c r="I3" s="15"/>
      <c r="J3" s="16"/>
    </row>
    <row r="4" spans="1:10" ht="12.75">
      <c r="A4" s="40" t="s">
        <v>48</v>
      </c>
      <c r="B4" s="41"/>
      <c r="D4" s="6"/>
      <c r="F4" s="85" t="s">
        <v>179</v>
      </c>
      <c r="G4" s="86" t="s">
        <v>235</v>
      </c>
      <c r="H4" s="87"/>
      <c r="I4" s="87" t="s">
        <v>20</v>
      </c>
      <c r="J4" s="88" t="s">
        <v>236</v>
      </c>
    </row>
    <row r="5" spans="1:10" s="3" customFormat="1" ht="12.75">
      <c r="A5" s="3" t="s">
        <v>87</v>
      </c>
      <c r="F5" s="89" t="s">
        <v>15</v>
      </c>
      <c r="G5" s="16" t="s">
        <v>237</v>
      </c>
      <c r="H5" s="16" t="s">
        <v>184</v>
      </c>
      <c r="I5" s="15"/>
      <c r="J5" s="109"/>
    </row>
    <row r="6" spans="1:10" ht="12.75">
      <c r="A6" s="2">
        <v>0.035</v>
      </c>
      <c r="B6" s="42">
        <v>1</v>
      </c>
      <c r="C6" s="4">
        <f>A6*B9</f>
        <v>0.08155000000000001</v>
      </c>
      <c r="D6" s="29">
        <v>20</v>
      </c>
      <c r="E6" s="4">
        <f>C6*D6+C21</f>
        <v>1.6670000000000003</v>
      </c>
      <c r="F6" s="29">
        <v>5</v>
      </c>
      <c r="G6" s="92">
        <f>F6*150/E6</f>
        <v>449.91001799640065</v>
      </c>
      <c r="H6" s="140">
        <f>G6/30</f>
        <v>14.997000599880021</v>
      </c>
      <c r="I6" s="92">
        <f>G6*D6*24</f>
        <v>215956.80863827228</v>
      </c>
      <c r="J6" s="94">
        <f>D6*24*30*H2/I6</f>
        <v>0.8001600000000002</v>
      </c>
    </row>
    <row r="7" spans="1:10" ht="12.75">
      <c r="A7" s="2" t="s">
        <v>2</v>
      </c>
      <c r="B7" t="s">
        <v>49</v>
      </c>
      <c r="C7" s="5" t="s">
        <v>4</v>
      </c>
      <c r="D7" s="2" t="s">
        <v>6</v>
      </c>
      <c r="E7" s="5" t="s">
        <v>7</v>
      </c>
      <c r="F7" s="99" t="s">
        <v>50</v>
      </c>
      <c r="G7" s="100"/>
      <c r="H7" s="13"/>
      <c r="I7" s="14"/>
      <c r="J7" s="101"/>
    </row>
    <row r="8" spans="2:10" ht="12.75">
      <c r="B8" t="s">
        <v>51</v>
      </c>
      <c r="C8" s="4"/>
      <c r="G8" s="17"/>
      <c r="J8" s="102"/>
    </row>
    <row r="9" spans="2:10" ht="12.75">
      <c r="B9" s="98">
        <f>2.33+(0.87*(B6-1))</f>
        <v>2.33</v>
      </c>
      <c r="C9" s="3" t="s">
        <v>90</v>
      </c>
      <c r="D9" s="43">
        <f>60/D6</f>
        <v>3</v>
      </c>
      <c r="E9" s="3" t="s">
        <v>91</v>
      </c>
      <c r="J9" s="8"/>
    </row>
    <row r="10" spans="1:16" s="3" customFormat="1" ht="12.75">
      <c r="A10"/>
      <c r="B10" s="2"/>
      <c r="D10" s="98">
        <f>3600/D6</f>
        <v>180</v>
      </c>
      <c r="E10" s="3" t="s">
        <v>238</v>
      </c>
      <c r="J10" s="6"/>
      <c r="L10" s="112"/>
      <c r="M10" s="112"/>
      <c r="N10" s="112"/>
      <c r="O10" s="112"/>
      <c r="P10" s="112"/>
    </row>
    <row r="11" spans="1:16" s="3" customFormat="1" ht="12.75">
      <c r="A11"/>
      <c r="B11" s="2"/>
      <c r="D11" s="141" t="s">
        <v>239</v>
      </c>
      <c r="J11" s="6"/>
      <c r="L11" s="112"/>
      <c r="M11" s="112"/>
      <c r="N11" s="112"/>
      <c r="O11" s="112"/>
      <c r="P11" s="112"/>
    </row>
    <row r="12" spans="1:16" ht="12.75">
      <c r="A12" s="40" t="s">
        <v>52</v>
      </c>
      <c r="F12" s="85" t="s">
        <v>179</v>
      </c>
      <c r="G12" s="86" t="s">
        <v>235</v>
      </c>
      <c r="H12" s="87"/>
      <c r="I12" s="87" t="s">
        <v>20</v>
      </c>
      <c r="J12" s="88" t="s">
        <v>236</v>
      </c>
      <c r="L12" s="142"/>
      <c r="M12" s="142"/>
      <c r="N12" s="142"/>
      <c r="O12" s="142"/>
      <c r="P12" s="142"/>
    </row>
    <row r="13" spans="1:16" ht="12.75">
      <c r="A13" s="3" t="s">
        <v>88</v>
      </c>
      <c r="B13" s="3"/>
      <c r="C13" s="3"/>
      <c r="D13" s="3"/>
      <c r="E13" s="3"/>
      <c r="F13" s="89" t="s">
        <v>15</v>
      </c>
      <c r="G13" s="16" t="s">
        <v>237</v>
      </c>
      <c r="H13" s="16" t="s">
        <v>184</v>
      </c>
      <c r="I13" s="15"/>
      <c r="J13" s="109"/>
      <c r="L13" s="142"/>
      <c r="M13" s="142"/>
      <c r="N13" s="142"/>
      <c r="O13" s="142"/>
      <c r="P13" s="142"/>
    </row>
    <row r="14" spans="1:16" ht="12.75">
      <c r="A14" s="2">
        <v>0.035</v>
      </c>
      <c r="B14" s="42">
        <v>1</v>
      </c>
      <c r="C14" s="4">
        <f>A14*B17</f>
        <v>0.0427</v>
      </c>
      <c r="D14" s="29">
        <v>20</v>
      </c>
      <c r="E14" s="4">
        <f>C14*D14+C21</f>
        <v>0.8900000000000001</v>
      </c>
      <c r="F14" s="29">
        <v>5</v>
      </c>
      <c r="G14" s="92">
        <f>F14*150/E14</f>
        <v>842.696629213483</v>
      </c>
      <c r="H14" s="140">
        <f>G14/30</f>
        <v>28.089887640449433</v>
      </c>
      <c r="I14" s="92">
        <f>G14*D14*24</f>
        <v>404494.38202247187</v>
      </c>
      <c r="J14" s="94">
        <f>D14*24*30*H2/I14</f>
        <v>0.4272</v>
      </c>
      <c r="L14" s="142"/>
      <c r="M14" s="142"/>
      <c r="N14" s="142"/>
      <c r="O14" s="142"/>
      <c r="P14" s="142"/>
    </row>
    <row r="15" spans="1:16" ht="12.75">
      <c r="A15" s="2" t="s">
        <v>2</v>
      </c>
      <c r="B15" t="s">
        <v>49</v>
      </c>
      <c r="C15" s="5" t="s">
        <v>4</v>
      </c>
      <c r="D15" s="2" t="s">
        <v>6</v>
      </c>
      <c r="E15" s="5" t="s">
        <v>7</v>
      </c>
      <c r="F15" s="99" t="s">
        <v>50</v>
      </c>
      <c r="G15" s="100"/>
      <c r="H15" s="13"/>
      <c r="I15" s="14"/>
      <c r="J15" s="101"/>
      <c r="L15" s="142"/>
      <c r="M15" s="142"/>
      <c r="N15" s="142"/>
      <c r="O15" s="142"/>
      <c r="P15" s="142"/>
    </row>
    <row r="16" spans="2:16" ht="12.75">
      <c r="B16" t="s">
        <v>51</v>
      </c>
      <c r="C16" s="4"/>
      <c r="J16" s="8"/>
      <c r="L16" s="142"/>
      <c r="M16" s="142"/>
      <c r="N16" s="142"/>
      <c r="O16" s="142"/>
      <c r="P16" s="142"/>
    </row>
    <row r="17" spans="2:16" ht="12.75">
      <c r="B17" s="149">
        <f>1.22+(0.87*(B14-1))</f>
        <v>1.22</v>
      </c>
      <c r="C17" s="3" t="s">
        <v>90</v>
      </c>
      <c r="D17" s="43">
        <f>60/D14</f>
        <v>3</v>
      </c>
      <c r="E17" s="3" t="s">
        <v>91</v>
      </c>
      <c r="J17" s="8"/>
      <c r="L17" s="142"/>
      <c r="M17" s="142"/>
      <c r="N17" s="142"/>
      <c r="O17" s="142"/>
      <c r="P17" s="142"/>
    </row>
    <row r="18" spans="1:16" ht="12.75">
      <c r="A18"/>
      <c r="C18"/>
      <c r="D18" s="98">
        <f>3600/D14</f>
        <v>180</v>
      </c>
      <c r="E18" s="3" t="s">
        <v>238</v>
      </c>
      <c r="J18" s="8"/>
      <c r="L18" s="142"/>
      <c r="M18" s="142"/>
      <c r="N18" s="142"/>
      <c r="O18" s="142"/>
      <c r="P18" s="142"/>
    </row>
    <row r="19" spans="1:16" ht="12.75">
      <c r="A19"/>
      <c r="C19"/>
      <c r="D19" s="141" t="s">
        <v>239</v>
      </c>
      <c r="J19" s="8"/>
      <c r="L19" s="142"/>
      <c r="M19" s="142"/>
      <c r="N19" s="142"/>
      <c r="O19" s="142"/>
      <c r="P19" s="142"/>
    </row>
    <row r="20" spans="1:16" ht="12.75">
      <c r="A20" s="1" t="s">
        <v>0</v>
      </c>
      <c r="B20"/>
      <c r="C20" s="1"/>
      <c r="D20" s="1"/>
      <c r="F20" s="85" t="s">
        <v>193</v>
      </c>
      <c r="G20" s="45"/>
      <c r="H20" s="45"/>
      <c r="I20" s="87" t="s">
        <v>136</v>
      </c>
      <c r="J20" s="144" t="s">
        <v>181</v>
      </c>
      <c r="M20" s="142"/>
      <c r="N20" s="142"/>
      <c r="O20" s="142"/>
      <c r="P20" s="142"/>
    </row>
    <row r="21" spans="1:16" ht="12.75">
      <c r="A21" s="2">
        <v>1E-05</v>
      </c>
      <c r="B21" s="2">
        <v>3600</v>
      </c>
      <c r="C21" s="2">
        <f>A21*B21</f>
        <v>0.036000000000000004</v>
      </c>
      <c r="F21" s="46" t="s">
        <v>22</v>
      </c>
      <c r="G21" s="5">
        <v>5</v>
      </c>
      <c r="H21" s="5"/>
      <c r="I21" s="168">
        <v>2048</v>
      </c>
      <c r="J21" s="147" t="s">
        <v>241</v>
      </c>
      <c r="L21" s="142">
        <v>0</v>
      </c>
      <c r="M21" s="142"/>
      <c r="N21" s="142"/>
      <c r="O21" s="142"/>
      <c r="P21" s="142"/>
    </row>
    <row r="22" spans="1:16" ht="12.75">
      <c r="A22" s="5" t="s">
        <v>2</v>
      </c>
      <c r="B22" s="5" t="s">
        <v>5</v>
      </c>
      <c r="C22" s="5" t="s">
        <v>4</v>
      </c>
      <c r="F22" s="46" t="s">
        <v>53</v>
      </c>
      <c r="G22" s="42">
        <v>4</v>
      </c>
      <c r="H22" s="47" t="s">
        <v>240</v>
      </c>
      <c r="I22" s="52" t="s">
        <v>29</v>
      </c>
      <c r="J22" s="145">
        <f>D6*24*30*H2/I24</f>
        <v>0.759375</v>
      </c>
      <c r="L22" s="142">
        <v>4</v>
      </c>
      <c r="M22" s="142"/>
      <c r="N22" s="142"/>
      <c r="O22" s="142"/>
      <c r="P22" s="142"/>
    </row>
    <row r="23" spans="2:16" ht="12.75">
      <c r="B23" s="1"/>
      <c r="F23" s="46" t="s">
        <v>54</v>
      </c>
      <c r="G23" s="153">
        <v>0</v>
      </c>
      <c r="H23" s="5"/>
      <c r="I23" s="52" t="s">
        <v>30</v>
      </c>
      <c r="J23" s="147" t="s">
        <v>242</v>
      </c>
      <c r="L23" s="142"/>
      <c r="M23" s="142"/>
      <c r="N23" s="142"/>
      <c r="O23" s="142"/>
      <c r="P23" s="142"/>
    </row>
    <row r="24" spans="1:16" ht="12.75">
      <c r="A24" s="1" t="s">
        <v>243</v>
      </c>
      <c r="F24" s="24" t="s">
        <v>55</v>
      </c>
      <c r="G24" s="48">
        <f>G21+G22+G23</f>
        <v>9</v>
      </c>
      <c r="H24" s="48"/>
      <c r="I24" s="148">
        <f>I21*1000/G24</f>
        <v>227555.55555555556</v>
      </c>
      <c r="J24" s="146">
        <f>D14*24*30*H2/I24</f>
        <v>0.759375</v>
      </c>
      <c r="L24" s="142">
        <v>1024</v>
      </c>
      <c r="M24" s="142"/>
      <c r="N24" s="142"/>
      <c r="O24" s="142"/>
      <c r="P24" s="142"/>
    </row>
    <row r="25" spans="1:16" ht="12.75">
      <c r="A25" s="3"/>
      <c r="F25" s="5"/>
      <c r="G25" s="5"/>
      <c r="H25" s="5"/>
      <c r="I25" s="5"/>
      <c r="J25" s="16"/>
      <c r="L25" s="142">
        <v>2048</v>
      </c>
      <c r="M25" s="142"/>
      <c r="N25" s="142"/>
      <c r="O25" s="142"/>
      <c r="P25" s="142"/>
    </row>
    <row r="26" spans="1:16" ht="12.75">
      <c r="A26" s="26" t="s">
        <v>38</v>
      </c>
      <c r="C26" s="25"/>
      <c r="D26" s="25"/>
      <c r="F26" s="5"/>
      <c r="G26" s="16"/>
      <c r="H26" s="16"/>
      <c r="I26" s="15"/>
      <c r="J26" s="16"/>
      <c r="L26" s="142"/>
      <c r="M26" s="142"/>
      <c r="N26" s="142"/>
      <c r="O26" s="142"/>
      <c r="P26" s="142"/>
    </row>
    <row r="27" spans="1:16" ht="12.75">
      <c r="A27" s="37" t="s">
        <v>56</v>
      </c>
      <c r="L27" s="142"/>
      <c r="M27" s="142"/>
      <c r="N27" s="142"/>
      <c r="O27" s="142"/>
      <c r="P27" s="142"/>
    </row>
    <row r="28" spans="1:16" ht="12.75">
      <c r="A28" s="26" t="s">
        <v>39</v>
      </c>
      <c r="B28" s="3"/>
      <c r="L28" s="142"/>
      <c r="M28" s="142"/>
      <c r="N28" s="142"/>
      <c r="O28" s="142"/>
      <c r="P28" s="142"/>
    </row>
    <row r="29" spans="1:16" ht="12.75">
      <c r="A29" s="26"/>
      <c r="B29" s="25"/>
      <c r="L29" s="142"/>
      <c r="M29" s="142"/>
      <c r="N29" s="142"/>
      <c r="O29" s="142"/>
      <c r="P29" s="142"/>
    </row>
    <row r="30" spans="2:16" s="25" customFormat="1" ht="12.75">
      <c r="B30" s="3"/>
      <c r="C30" s="2"/>
      <c r="D30" s="2"/>
      <c r="G30" s="27"/>
      <c r="H30" s="27"/>
      <c r="I30" s="28"/>
      <c r="J30" s="27"/>
      <c r="L30" s="64"/>
      <c r="M30" s="64"/>
      <c r="N30" s="64"/>
      <c r="O30" s="64"/>
      <c r="P30" s="64"/>
    </row>
    <row r="31" spans="2:16" ht="12.75">
      <c r="B31" s="3"/>
      <c r="L31" s="142"/>
      <c r="M31" s="142"/>
      <c r="N31" s="142"/>
      <c r="O31" s="142"/>
      <c r="P31" s="142"/>
    </row>
    <row r="32" ht="12.75">
      <c r="B32" s="3"/>
    </row>
  </sheetData>
  <sheetProtection sheet="1" objects="1" scenarios="1" selectLockedCells="1"/>
  <dataValidations count="2">
    <dataValidation type="list" allowBlank="1" showInputMessage="1" showErrorMessage="1" sqref="G22">
      <formula1>$L$21:$L$22</formula1>
    </dataValidation>
    <dataValidation type="list" allowBlank="1" showInputMessage="1" showErrorMessage="1" sqref="I21">
      <formula1>$L$24:$L$25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2"/>
  </sheetPr>
  <dimension ref="A1:P32"/>
  <sheetViews>
    <sheetView workbookViewId="0" topLeftCell="A1">
      <selection activeCell="H2" sqref="H2"/>
    </sheetView>
  </sheetViews>
  <sheetFormatPr defaultColWidth="9.140625" defaultRowHeight="12.75"/>
  <cols>
    <col min="1" max="1" width="15.57421875" style="2" customWidth="1"/>
    <col min="2" max="2" width="20.28125" style="2" customWidth="1"/>
    <col min="3" max="3" width="20.7109375" style="2" customWidth="1"/>
    <col min="4" max="4" width="14.7109375" style="2" customWidth="1"/>
    <col min="5" max="5" width="19.7109375" style="2" customWidth="1"/>
    <col min="6" max="6" width="12.8515625" style="2" customWidth="1"/>
    <col min="7" max="7" width="8.140625" style="7" customWidth="1"/>
    <col min="8" max="8" width="7.28125" style="7" customWidth="1"/>
    <col min="9" max="9" width="10.4218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46</v>
      </c>
      <c r="C1" s="65" t="s">
        <v>93</v>
      </c>
      <c r="D1" s="41"/>
      <c r="H1" s="2"/>
      <c r="I1" s="2"/>
      <c r="J1" s="2"/>
    </row>
    <row r="2" spans="1:10" ht="12.75">
      <c r="A2" s="3" t="s">
        <v>34</v>
      </c>
      <c r="B2" s="5"/>
      <c r="C2" s="78" t="s">
        <v>139</v>
      </c>
      <c r="F2" s="51"/>
      <c r="G2" s="51" t="s">
        <v>176</v>
      </c>
      <c r="H2" s="83">
        <v>6</v>
      </c>
      <c r="I2" s="84" t="s">
        <v>177</v>
      </c>
      <c r="J2" s="82"/>
    </row>
    <row r="3" spans="6:10" ht="12.75">
      <c r="F3" s="5"/>
      <c r="G3" s="16"/>
      <c r="H3" s="16"/>
      <c r="I3" s="15"/>
      <c r="J3" s="16"/>
    </row>
    <row r="4" spans="1:10" ht="12.75">
      <c r="A4" s="40" t="s">
        <v>48</v>
      </c>
      <c r="B4" s="41"/>
      <c r="D4" s="6"/>
      <c r="F4" s="85" t="s">
        <v>179</v>
      </c>
      <c r="G4" s="86" t="s">
        <v>235</v>
      </c>
      <c r="H4" s="87"/>
      <c r="I4" s="87" t="s">
        <v>20</v>
      </c>
      <c r="J4" s="88" t="s">
        <v>236</v>
      </c>
    </row>
    <row r="5" spans="1:10" s="3" customFormat="1" ht="12.75">
      <c r="A5" s="3" t="s">
        <v>94</v>
      </c>
      <c r="F5" s="89" t="s">
        <v>15</v>
      </c>
      <c r="G5" s="16" t="s">
        <v>237</v>
      </c>
      <c r="H5" s="16" t="s">
        <v>184</v>
      </c>
      <c r="I5" s="15"/>
      <c r="J5" s="109"/>
    </row>
    <row r="6" spans="1:10" ht="12.75">
      <c r="A6" s="2">
        <v>0.02</v>
      </c>
      <c r="B6" s="42">
        <v>1</v>
      </c>
      <c r="C6" s="4">
        <f>A6*B9</f>
        <v>0.056600000000000004</v>
      </c>
      <c r="D6" s="29">
        <v>6</v>
      </c>
      <c r="E6" s="4">
        <f>C6*D6+C21</f>
        <v>0.37560000000000004</v>
      </c>
      <c r="F6" s="29">
        <v>5</v>
      </c>
      <c r="G6" s="92">
        <f>F6*150/E6</f>
        <v>1996.805111821086</v>
      </c>
      <c r="H6" s="140">
        <f>G6/30</f>
        <v>66.5601703940362</v>
      </c>
      <c r="I6" s="92">
        <f>G6*D6*24</f>
        <v>287539.9361022364</v>
      </c>
      <c r="J6" s="94">
        <f>D6*24*30*H2/I6</f>
        <v>0.09014400000000002</v>
      </c>
    </row>
    <row r="7" spans="1:10" ht="12.75">
      <c r="A7" s="2" t="s">
        <v>2</v>
      </c>
      <c r="B7" t="s">
        <v>49</v>
      </c>
      <c r="C7" s="5" t="s">
        <v>4</v>
      </c>
      <c r="D7" s="2" t="s">
        <v>6</v>
      </c>
      <c r="E7" s="5" t="s">
        <v>7</v>
      </c>
      <c r="F7" s="99" t="s">
        <v>50</v>
      </c>
      <c r="G7" s="100"/>
      <c r="H7" s="13"/>
      <c r="I7" s="14"/>
      <c r="J7" s="101"/>
    </row>
    <row r="8" spans="2:10" ht="12.75">
      <c r="B8" t="s">
        <v>51</v>
      </c>
      <c r="C8" s="4"/>
      <c r="G8" s="17"/>
      <c r="J8" s="102"/>
    </row>
    <row r="9" spans="2:10" ht="12.75">
      <c r="B9" s="98">
        <f>2.83+(1.27*(B6-1))</f>
        <v>2.83</v>
      </c>
      <c r="C9" s="3" t="s">
        <v>90</v>
      </c>
      <c r="D9" s="43">
        <f>60/D6</f>
        <v>10</v>
      </c>
      <c r="E9" s="3" t="s">
        <v>91</v>
      </c>
      <c r="J9" s="8"/>
    </row>
    <row r="10" spans="1:16" s="3" customFormat="1" ht="12.75">
      <c r="A10"/>
      <c r="B10" s="2"/>
      <c r="D10" s="98">
        <f>3600/D6</f>
        <v>600</v>
      </c>
      <c r="E10" s="3" t="s">
        <v>238</v>
      </c>
      <c r="J10" s="6"/>
      <c r="L10" s="112"/>
      <c r="M10" s="112"/>
      <c r="N10" s="112"/>
      <c r="O10" s="112"/>
      <c r="P10" s="112"/>
    </row>
    <row r="11" spans="1:16" s="3" customFormat="1" ht="12.75">
      <c r="A11"/>
      <c r="B11" s="2"/>
      <c r="D11" s="141" t="s">
        <v>239</v>
      </c>
      <c r="J11" s="6"/>
      <c r="L11" s="112"/>
      <c r="M11" s="112"/>
      <c r="N11" s="112"/>
      <c r="O11" s="112"/>
      <c r="P11" s="112"/>
    </row>
    <row r="12" spans="1:16" ht="12.75">
      <c r="A12" s="40" t="s">
        <v>52</v>
      </c>
      <c r="F12" s="85" t="s">
        <v>179</v>
      </c>
      <c r="G12" s="86" t="s">
        <v>235</v>
      </c>
      <c r="H12" s="87"/>
      <c r="I12" s="87" t="s">
        <v>20</v>
      </c>
      <c r="J12" s="88" t="s">
        <v>236</v>
      </c>
      <c r="L12" s="142"/>
      <c r="M12" s="142"/>
      <c r="N12" s="142"/>
      <c r="O12" s="142"/>
      <c r="P12" s="142"/>
    </row>
    <row r="13" spans="1:16" ht="12.75">
      <c r="A13" s="3" t="s">
        <v>95</v>
      </c>
      <c r="B13" s="3"/>
      <c r="C13" s="3"/>
      <c r="D13" s="3"/>
      <c r="E13" s="3"/>
      <c r="F13" s="89" t="s">
        <v>15</v>
      </c>
      <c r="G13" s="16" t="s">
        <v>237</v>
      </c>
      <c r="H13" s="16" t="s">
        <v>184</v>
      </c>
      <c r="I13" s="15"/>
      <c r="J13" s="109"/>
      <c r="L13" s="142"/>
      <c r="M13" s="142"/>
      <c r="N13" s="142"/>
      <c r="O13" s="142"/>
      <c r="P13" s="142"/>
    </row>
    <row r="14" spans="1:16" ht="12.75">
      <c r="A14" s="2">
        <v>0.039</v>
      </c>
      <c r="B14" s="42">
        <v>1</v>
      </c>
      <c r="C14" s="4">
        <f>A14*B17</f>
        <v>0.06708</v>
      </c>
      <c r="D14" s="29">
        <v>6</v>
      </c>
      <c r="E14" s="4">
        <f>C14*D14+C21</f>
        <v>0.43848</v>
      </c>
      <c r="F14" s="29">
        <v>5</v>
      </c>
      <c r="G14" s="92">
        <f>F14*150/E14</f>
        <v>1710.4542966611932</v>
      </c>
      <c r="H14" s="140">
        <f>G14/30</f>
        <v>57.015143222039775</v>
      </c>
      <c r="I14" s="92">
        <f>G14*D14*24</f>
        <v>246305.41871921183</v>
      </c>
      <c r="J14" s="94">
        <f>D14*24*30*H2/I14</f>
        <v>0.1052352</v>
      </c>
      <c r="L14" s="142"/>
      <c r="M14" s="142"/>
      <c r="N14" s="142"/>
      <c r="O14" s="142"/>
      <c r="P14" s="142"/>
    </row>
    <row r="15" spans="1:16" ht="12.75">
      <c r="A15" s="2" t="s">
        <v>2</v>
      </c>
      <c r="B15" t="s">
        <v>49</v>
      </c>
      <c r="C15" s="5" t="s">
        <v>4</v>
      </c>
      <c r="D15" s="2" t="s">
        <v>6</v>
      </c>
      <c r="E15" s="5" t="s">
        <v>7</v>
      </c>
      <c r="F15" s="99" t="s">
        <v>50</v>
      </c>
      <c r="G15" s="100"/>
      <c r="H15" s="13"/>
      <c r="I15" s="14"/>
      <c r="J15" s="101"/>
      <c r="L15" s="142"/>
      <c r="M15" s="142"/>
      <c r="N15" s="142"/>
      <c r="O15" s="142"/>
      <c r="P15" s="142"/>
    </row>
    <row r="16" spans="2:16" ht="12.75">
      <c r="B16" t="s">
        <v>51</v>
      </c>
      <c r="C16" s="4"/>
      <c r="J16" s="8"/>
      <c r="L16" s="142"/>
      <c r="M16" s="142"/>
      <c r="N16" s="142"/>
      <c r="O16" s="142"/>
      <c r="P16" s="142"/>
    </row>
    <row r="17" spans="2:16" ht="12.75">
      <c r="B17" s="149">
        <f>1.72+(1.27*(B14-1))</f>
        <v>1.72</v>
      </c>
      <c r="C17" s="3" t="s">
        <v>90</v>
      </c>
      <c r="D17" s="43">
        <f>60/D14</f>
        <v>10</v>
      </c>
      <c r="E17" s="3" t="s">
        <v>91</v>
      </c>
      <c r="J17" s="8"/>
      <c r="L17" s="142"/>
      <c r="M17" s="142"/>
      <c r="N17" s="142"/>
      <c r="O17" s="142"/>
      <c r="P17" s="142"/>
    </row>
    <row r="18" spans="1:16" ht="12.75">
      <c r="A18"/>
      <c r="C18"/>
      <c r="D18" s="98">
        <f>3600/D14</f>
        <v>600</v>
      </c>
      <c r="E18" s="3" t="s">
        <v>238</v>
      </c>
      <c r="J18" s="8"/>
      <c r="L18" s="142"/>
      <c r="M18" s="142"/>
      <c r="N18" s="142"/>
      <c r="O18" s="142"/>
      <c r="P18" s="142"/>
    </row>
    <row r="19" spans="1:16" ht="12.75">
      <c r="A19"/>
      <c r="C19"/>
      <c r="D19" s="141" t="s">
        <v>239</v>
      </c>
      <c r="J19" s="8"/>
      <c r="L19" s="142"/>
      <c r="M19" s="142"/>
      <c r="N19" s="142"/>
      <c r="O19" s="142"/>
      <c r="P19" s="142"/>
    </row>
    <row r="20" spans="1:16" ht="12.75">
      <c r="A20" s="1" t="s">
        <v>0</v>
      </c>
      <c r="B20"/>
      <c r="C20" s="1"/>
      <c r="D20" s="1"/>
      <c r="F20" s="85" t="s">
        <v>193</v>
      </c>
      <c r="G20" s="45"/>
      <c r="H20" s="45"/>
      <c r="I20" s="87" t="s">
        <v>136</v>
      </c>
      <c r="J20" s="144" t="s">
        <v>181</v>
      </c>
      <c r="M20" s="142"/>
      <c r="N20" s="142"/>
      <c r="O20" s="142"/>
      <c r="P20" s="142"/>
    </row>
    <row r="21" spans="1:16" ht="12.75">
      <c r="A21" s="2">
        <v>1E-05</v>
      </c>
      <c r="B21" s="2">
        <v>3600</v>
      </c>
      <c r="C21" s="2">
        <f>A21*B21</f>
        <v>0.036000000000000004</v>
      </c>
      <c r="F21" s="46" t="s">
        <v>22</v>
      </c>
      <c r="G21" s="5">
        <v>5</v>
      </c>
      <c r="H21" s="5"/>
      <c r="I21" s="168">
        <v>2048</v>
      </c>
      <c r="J21" s="147" t="s">
        <v>241</v>
      </c>
      <c r="L21" s="142">
        <v>0</v>
      </c>
      <c r="M21" s="142"/>
      <c r="N21" s="142"/>
      <c r="O21" s="142"/>
      <c r="P21" s="142"/>
    </row>
    <row r="22" spans="1:16" ht="12.75">
      <c r="A22" s="5" t="s">
        <v>2</v>
      </c>
      <c r="B22" s="5" t="s">
        <v>5</v>
      </c>
      <c r="C22" s="5" t="s">
        <v>4</v>
      </c>
      <c r="F22" s="46" t="s">
        <v>53</v>
      </c>
      <c r="G22" s="42">
        <v>4</v>
      </c>
      <c r="H22" s="47" t="s">
        <v>240</v>
      </c>
      <c r="I22" s="52" t="s">
        <v>29</v>
      </c>
      <c r="J22" s="145">
        <f>D6*24*30*H2/I24</f>
        <v>0.13921875</v>
      </c>
      <c r="L22" s="142">
        <v>4</v>
      </c>
      <c r="M22" s="142"/>
      <c r="N22" s="142"/>
      <c r="O22" s="142"/>
      <c r="P22" s="142"/>
    </row>
    <row r="23" spans="2:16" ht="12.75">
      <c r="B23" s="1"/>
      <c r="F23" s="46" t="s">
        <v>23</v>
      </c>
      <c r="G23" s="153">
        <v>2</v>
      </c>
      <c r="H23" s="5"/>
      <c r="I23" s="52" t="s">
        <v>30</v>
      </c>
      <c r="J23" s="147" t="s">
        <v>242</v>
      </c>
      <c r="L23" s="142"/>
      <c r="M23" s="142"/>
      <c r="N23" s="142"/>
      <c r="O23" s="142"/>
      <c r="P23" s="142"/>
    </row>
    <row r="24" spans="1:16" ht="12.75">
      <c r="A24" s="1" t="s">
        <v>243</v>
      </c>
      <c r="F24" s="24" t="s">
        <v>55</v>
      </c>
      <c r="G24" s="48">
        <f>G21+G22+G23</f>
        <v>11</v>
      </c>
      <c r="H24" s="48"/>
      <c r="I24" s="148">
        <f>I21*1000/G24</f>
        <v>186181.81818181818</v>
      </c>
      <c r="J24" s="146">
        <f>D14*24*30*H2/I24</f>
        <v>0.13921875</v>
      </c>
      <c r="L24" s="142">
        <v>1024</v>
      </c>
      <c r="M24" s="142"/>
      <c r="N24" s="142"/>
      <c r="O24" s="142"/>
      <c r="P24" s="142"/>
    </row>
    <row r="25" spans="1:16" ht="12.75">
      <c r="A25" s="3"/>
      <c r="F25" s="5"/>
      <c r="G25" s="5"/>
      <c r="H25" s="5"/>
      <c r="I25" s="5"/>
      <c r="J25" s="16"/>
      <c r="L25" s="142">
        <v>2048</v>
      </c>
      <c r="M25" s="142"/>
      <c r="N25" s="142"/>
      <c r="O25" s="142"/>
      <c r="P25" s="142"/>
    </row>
    <row r="26" spans="1:16" ht="12.75">
      <c r="A26" s="26" t="s">
        <v>38</v>
      </c>
      <c r="C26" s="25"/>
      <c r="D26" s="25"/>
      <c r="F26" s="5"/>
      <c r="G26" s="16"/>
      <c r="H26" s="16"/>
      <c r="I26" s="15"/>
      <c r="J26" s="16"/>
      <c r="L26" s="142"/>
      <c r="M26" s="142"/>
      <c r="N26" s="142"/>
      <c r="O26" s="142"/>
      <c r="P26" s="142"/>
    </row>
    <row r="27" spans="1:16" ht="12.75">
      <c r="A27" s="37" t="s">
        <v>56</v>
      </c>
      <c r="L27" s="142"/>
      <c r="M27" s="142"/>
      <c r="N27" s="142"/>
      <c r="O27" s="142"/>
      <c r="P27" s="142"/>
    </row>
    <row r="28" spans="1:16" ht="12.75">
      <c r="A28" s="26" t="s">
        <v>39</v>
      </c>
      <c r="B28" s="3"/>
      <c r="L28" s="142"/>
      <c r="M28" s="142"/>
      <c r="N28" s="142"/>
      <c r="O28" s="142"/>
      <c r="P28" s="142"/>
    </row>
    <row r="29" spans="1:16" ht="12.75">
      <c r="A29" s="26"/>
      <c r="B29" s="25"/>
      <c r="L29" s="142"/>
      <c r="M29" s="142"/>
      <c r="N29" s="142"/>
      <c r="O29" s="142"/>
      <c r="P29" s="142"/>
    </row>
    <row r="30" spans="2:16" s="25" customFormat="1" ht="12.75">
      <c r="B30" s="3"/>
      <c r="C30" s="2"/>
      <c r="D30" s="2"/>
      <c r="G30" s="27"/>
      <c r="H30" s="27"/>
      <c r="I30" s="28"/>
      <c r="J30" s="27"/>
      <c r="L30" s="64"/>
      <c r="M30" s="64"/>
      <c r="N30" s="64"/>
      <c r="O30" s="64"/>
      <c r="P30" s="64"/>
    </row>
    <row r="31" spans="2:16" ht="12.75">
      <c r="B31" s="3"/>
      <c r="L31" s="142"/>
      <c r="M31" s="142"/>
      <c r="N31" s="142"/>
      <c r="O31" s="142"/>
      <c r="P31" s="142"/>
    </row>
    <row r="32" ht="12.75">
      <c r="B32" s="3"/>
    </row>
  </sheetData>
  <sheetProtection sheet="1" objects="1" scenarios="1" selectLockedCells="1"/>
  <dataValidations count="2">
    <dataValidation type="list" allowBlank="1" showInputMessage="1" showErrorMessage="1" sqref="G22">
      <formula1>$L$21:$L$22</formula1>
    </dataValidation>
    <dataValidation type="list" allowBlank="1" showInputMessage="1" showErrorMessage="1" sqref="I21">
      <formula1>$L$24:$L$25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2"/>
  </sheetPr>
  <dimension ref="A1:P32"/>
  <sheetViews>
    <sheetView workbookViewId="0" topLeftCell="A1">
      <selection activeCell="C2" sqref="C2"/>
    </sheetView>
  </sheetViews>
  <sheetFormatPr defaultColWidth="9.140625" defaultRowHeight="12.75"/>
  <cols>
    <col min="1" max="1" width="15.57421875" style="2" customWidth="1"/>
    <col min="2" max="2" width="20.28125" style="2" customWidth="1"/>
    <col min="3" max="3" width="20.7109375" style="2" customWidth="1"/>
    <col min="4" max="4" width="14.7109375" style="2" customWidth="1"/>
    <col min="5" max="5" width="19.7109375" style="2" customWidth="1"/>
    <col min="6" max="6" width="12.8515625" style="2" customWidth="1"/>
    <col min="7" max="7" width="8.140625" style="7" customWidth="1"/>
    <col min="8" max="8" width="7.28125" style="7" customWidth="1"/>
    <col min="9" max="9" width="10.4218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46</v>
      </c>
      <c r="C1" s="65" t="s">
        <v>96</v>
      </c>
      <c r="D1" s="41"/>
      <c r="H1" s="2"/>
      <c r="I1" s="2"/>
      <c r="J1" s="2"/>
    </row>
    <row r="2" spans="1:10" ht="12.75">
      <c r="A2" s="3" t="s">
        <v>34</v>
      </c>
      <c r="B2" s="5"/>
      <c r="C2" s="78" t="s">
        <v>139</v>
      </c>
      <c r="F2" s="51"/>
      <c r="G2" s="51" t="s">
        <v>176</v>
      </c>
      <c r="H2" s="83">
        <v>6</v>
      </c>
      <c r="I2" s="84" t="s">
        <v>177</v>
      </c>
      <c r="J2" s="82"/>
    </row>
    <row r="3" spans="6:10" ht="12.75">
      <c r="F3" s="5"/>
      <c r="G3" s="16"/>
      <c r="H3" s="16"/>
      <c r="I3" s="15"/>
      <c r="J3" s="16"/>
    </row>
    <row r="4" spans="1:10" ht="12.75">
      <c r="A4" s="40" t="s">
        <v>48</v>
      </c>
      <c r="B4" s="41"/>
      <c r="D4" s="6"/>
      <c r="F4" s="85" t="s">
        <v>179</v>
      </c>
      <c r="G4" s="86" t="s">
        <v>235</v>
      </c>
      <c r="H4" s="87"/>
      <c r="I4" s="87" t="s">
        <v>20</v>
      </c>
      <c r="J4" s="88" t="s">
        <v>236</v>
      </c>
    </row>
    <row r="5" spans="1:10" s="3" customFormat="1" ht="12.75">
      <c r="A5" s="3" t="s">
        <v>94</v>
      </c>
      <c r="F5" s="89" t="s">
        <v>15</v>
      </c>
      <c r="G5" s="16" t="s">
        <v>237</v>
      </c>
      <c r="H5" s="16" t="s">
        <v>184</v>
      </c>
      <c r="I5" s="15"/>
      <c r="J5" s="109"/>
    </row>
    <row r="6" spans="1:10" ht="12.75">
      <c r="A6" s="2">
        <v>0.035</v>
      </c>
      <c r="B6" s="42">
        <v>1</v>
      </c>
      <c r="C6" s="4">
        <f>A6*B9</f>
        <v>0.09905000000000001</v>
      </c>
      <c r="D6" s="29">
        <v>20</v>
      </c>
      <c r="E6" s="4">
        <f>C6*D6+C21</f>
        <v>2.0170000000000003</v>
      </c>
      <c r="F6" s="29">
        <v>5</v>
      </c>
      <c r="G6" s="92">
        <f>F6*150/E6</f>
        <v>371.83936539414964</v>
      </c>
      <c r="H6" s="140">
        <f>G6/30</f>
        <v>12.394645513138322</v>
      </c>
      <c r="I6" s="92">
        <f>G6*D6*24</f>
        <v>178482.8953891918</v>
      </c>
      <c r="J6" s="94">
        <f>D6*24*30*H2/I6</f>
        <v>0.4840800000000002</v>
      </c>
    </row>
    <row r="7" spans="1:10" ht="12.75">
      <c r="A7" s="2" t="s">
        <v>2</v>
      </c>
      <c r="B7" t="s">
        <v>49</v>
      </c>
      <c r="C7" s="5" t="s">
        <v>4</v>
      </c>
      <c r="D7" s="2" t="s">
        <v>6</v>
      </c>
      <c r="E7" s="5" t="s">
        <v>7</v>
      </c>
      <c r="F7" s="99" t="s">
        <v>50</v>
      </c>
      <c r="G7" s="100"/>
      <c r="H7" s="13"/>
      <c r="I7" s="14"/>
      <c r="J7" s="101"/>
    </row>
    <row r="8" spans="2:10" ht="12.75">
      <c r="B8" t="s">
        <v>51</v>
      </c>
      <c r="C8" s="4"/>
      <c r="G8" s="17"/>
      <c r="J8" s="102"/>
    </row>
    <row r="9" spans="2:10" ht="12.75">
      <c r="B9" s="98">
        <f>2.83+(1.27*(B6-1))</f>
        <v>2.83</v>
      </c>
      <c r="C9" s="3" t="s">
        <v>90</v>
      </c>
      <c r="D9" s="43">
        <f>60/D6</f>
        <v>3</v>
      </c>
      <c r="E9" s="3" t="s">
        <v>91</v>
      </c>
      <c r="J9" s="8"/>
    </row>
    <row r="10" spans="1:16" s="3" customFormat="1" ht="12.75">
      <c r="A10"/>
      <c r="B10" s="2"/>
      <c r="D10" s="98">
        <f>3600/D6</f>
        <v>180</v>
      </c>
      <c r="E10" s="3" t="s">
        <v>238</v>
      </c>
      <c r="J10" s="6"/>
      <c r="L10" s="112"/>
      <c r="M10" s="112"/>
      <c r="N10" s="112"/>
      <c r="O10" s="112"/>
      <c r="P10" s="112"/>
    </row>
    <row r="11" spans="1:16" s="3" customFormat="1" ht="12.75">
      <c r="A11"/>
      <c r="B11" s="2"/>
      <c r="D11" s="141" t="s">
        <v>239</v>
      </c>
      <c r="J11" s="6"/>
      <c r="L11" s="112"/>
      <c r="M11" s="112"/>
      <c r="N11" s="112"/>
      <c r="O11" s="112"/>
      <c r="P11" s="112"/>
    </row>
    <row r="12" spans="1:16" ht="12.75">
      <c r="A12" s="40" t="s">
        <v>52</v>
      </c>
      <c r="F12" s="85" t="s">
        <v>179</v>
      </c>
      <c r="G12" s="86" t="s">
        <v>235</v>
      </c>
      <c r="H12" s="87"/>
      <c r="I12" s="87" t="s">
        <v>20</v>
      </c>
      <c r="J12" s="88" t="s">
        <v>236</v>
      </c>
      <c r="L12" s="142"/>
      <c r="M12" s="142"/>
      <c r="N12" s="142"/>
      <c r="O12" s="142"/>
      <c r="P12" s="142"/>
    </row>
    <row r="13" spans="1:16" ht="12.75">
      <c r="A13" s="3" t="s">
        <v>95</v>
      </c>
      <c r="B13" s="3"/>
      <c r="C13" s="3"/>
      <c r="D13" s="3"/>
      <c r="E13" s="3"/>
      <c r="F13" s="89" t="s">
        <v>15</v>
      </c>
      <c r="G13" s="16" t="s">
        <v>237</v>
      </c>
      <c r="H13" s="16" t="s">
        <v>184</v>
      </c>
      <c r="I13" s="15"/>
      <c r="J13" s="109"/>
      <c r="L13" s="142"/>
      <c r="M13" s="142"/>
      <c r="N13" s="142"/>
      <c r="O13" s="142"/>
      <c r="P13" s="142"/>
    </row>
    <row r="14" spans="1:16" ht="12.75">
      <c r="A14" s="2">
        <v>0.035</v>
      </c>
      <c r="B14" s="42">
        <v>1</v>
      </c>
      <c r="C14" s="4">
        <f>A14*B17</f>
        <v>0.060200000000000004</v>
      </c>
      <c r="D14" s="29">
        <v>20</v>
      </c>
      <c r="E14" s="4">
        <f>C14*D14+C21</f>
        <v>1.2400000000000002</v>
      </c>
      <c r="F14" s="29">
        <v>5</v>
      </c>
      <c r="G14" s="92">
        <f>F14*150/E14</f>
        <v>604.8387096774193</v>
      </c>
      <c r="H14" s="140">
        <f>G14/30</f>
        <v>20.161290322580644</v>
      </c>
      <c r="I14" s="92">
        <f>G14*D14*24</f>
        <v>290322.5806451613</v>
      </c>
      <c r="J14" s="94">
        <f>D14*24*30*H2/I14</f>
        <v>0.29760000000000003</v>
      </c>
      <c r="L14" s="142"/>
      <c r="M14" s="142"/>
      <c r="N14" s="142"/>
      <c r="O14" s="142"/>
      <c r="P14" s="142"/>
    </row>
    <row r="15" spans="1:16" ht="12.75">
      <c r="A15" s="2" t="s">
        <v>2</v>
      </c>
      <c r="B15" t="s">
        <v>49</v>
      </c>
      <c r="C15" s="5" t="s">
        <v>4</v>
      </c>
      <c r="D15" s="2" t="s">
        <v>6</v>
      </c>
      <c r="E15" s="5" t="s">
        <v>7</v>
      </c>
      <c r="F15" s="99" t="s">
        <v>50</v>
      </c>
      <c r="G15" s="100"/>
      <c r="H15" s="13"/>
      <c r="I15" s="14"/>
      <c r="J15" s="101"/>
      <c r="L15" s="142"/>
      <c r="M15" s="142"/>
      <c r="N15" s="142"/>
      <c r="O15" s="142"/>
      <c r="P15" s="142"/>
    </row>
    <row r="16" spans="2:16" ht="12.75">
      <c r="B16" t="s">
        <v>51</v>
      </c>
      <c r="C16" s="4"/>
      <c r="J16" s="8"/>
      <c r="L16" s="142"/>
      <c r="M16" s="142"/>
      <c r="N16" s="142"/>
      <c r="O16" s="142"/>
      <c r="P16" s="142"/>
    </row>
    <row r="17" spans="2:16" ht="12.75">
      <c r="B17" s="149">
        <f>1.72+(1.27*(B14-1))</f>
        <v>1.72</v>
      </c>
      <c r="C17" s="3" t="s">
        <v>90</v>
      </c>
      <c r="D17" s="43">
        <f>60/D14</f>
        <v>3</v>
      </c>
      <c r="E17" s="3" t="s">
        <v>91</v>
      </c>
      <c r="J17" s="8"/>
      <c r="L17" s="142"/>
      <c r="M17" s="142"/>
      <c r="N17" s="142"/>
      <c r="O17" s="142"/>
      <c r="P17" s="142"/>
    </row>
    <row r="18" spans="1:16" ht="12.75">
      <c r="A18"/>
      <c r="C18"/>
      <c r="D18" s="98">
        <f>3600/D14</f>
        <v>180</v>
      </c>
      <c r="E18" s="3" t="s">
        <v>238</v>
      </c>
      <c r="J18" s="8"/>
      <c r="L18" s="142"/>
      <c r="M18" s="142"/>
      <c r="N18" s="142"/>
      <c r="O18" s="142"/>
      <c r="P18" s="142"/>
    </row>
    <row r="19" spans="1:16" ht="12.75">
      <c r="A19"/>
      <c r="C19"/>
      <c r="D19" s="141" t="s">
        <v>239</v>
      </c>
      <c r="J19" s="8"/>
      <c r="L19" s="142"/>
      <c r="M19" s="142"/>
      <c r="N19" s="142"/>
      <c r="O19" s="142"/>
      <c r="P19" s="142"/>
    </row>
    <row r="20" spans="1:16" ht="12.75">
      <c r="A20" s="1" t="s">
        <v>0</v>
      </c>
      <c r="B20"/>
      <c r="C20" s="1"/>
      <c r="D20" s="1"/>
      <c r="F20" s="85" t="s">
        <v>193</v>
      </c>
      <c r="G20" s="45"/>
      <c r="H20" s="45"/>
      <c r="I20" s="87" t="s">
        <v>136</v>
      </c>
      <c r="J20" s="144" t="s">
        <v>181</v>
      </c>
      <c r="M20" s="142"/>
      <c r="N20" s="142"/>
      <c r="O20" s="142"/>
      <c r="P20" s="142"/>
    </row>
    <row r="21" spans="1:16" ht="12.75">
      <c r="A21" s="2">
        <v>1E-05</v>
      </c>
      <c r="B21" s="2">
        <v>3600</v>
      </c>
      <c r="C21" s="2">
        <f>A21*B21</f>
        <v>0.036000000000000004</v>
      </c>
      <c r="F21" s="46" t="s">
        <v>22</v>
      </c>
      <c r="G21" s="5">
        <v>5</v>
      </c>
      <c r="H21" s="5"/>
      <c r="I21" s="168">
        <v>1024</v>
      </c>
      <c r="J21" s="147" t="s">
        <v>241</v>
      </c>
      <c r="L21" s="142">
        <v>0</v>
      </c>
      <c r="M21" s="142"/>
      <c r="N21" s="142"/>
      <c r="O21" s="142"/>
      <c r="P21" s="142"/>
    </row>
    <row r="22" spans="1:16" ht="12.75">
      <c r="A22" s="5" t="s">
        <v>2</v>
      </c>
      <c r="B22" s="5" t="s">
        <v>5</v>
      </c>
      <c r="C22" s="5" t="s">
        <v>4</v>
      </c>
      <c r="F22" s="46" t="s">
        <v>53</v>
      </c>
      <c r="G22" s="42">
        <v>0</v>
      </c>
      <c r="H22" s="47" t="s">
        <v>240</v>
      </c>
      <c r="I22" s="52" t="s">
        <v>29</v>
      </c>
      <c r="J22" s="145">
        <f>D6*24*30*H2/I24</f>
        <v>0.590625</v>
      </c>
      <c r="L22" s="142">
        <v>4</v>
      </c>
      <c r="M22" s="142"/>
      <c r="N22" s="142"/>
      <c r="O22" s="142"/>
      <c r="P22" s="142"/>
    </row>
    <row r="23" spans="2:16" ht="12.75">
      <c r="B23" s="1"/>
      <c r="F23" s="46" t="s">
        <v>54</v>
      </c>
      <c r="G23" s="153">
        <v>2</v>
      </c>
      <c r="H23" s="5"/>
      <c r="I23" s="52" t="s">
        <v>30</v>
      </c>
      <c r="J23" s="147" t="s">
        <v>242</v>
      </c>
      <c r="L23" s="142"/>
      <c r="M23" s="142"/>
      <c r="N23" s="142"/>
      <c r="O23" s="142"/>
      <c r="P23" s="142"/>
    </row>
    <row r="24" spans="1:16" ht="12.75">
      <c r="A24" s="1" t="s">
        <v>243</v>
      </c>
      <c r="F24" s="24" t="s">
        <v>55</v>
      </c>
      <c r="G24" s="48">
        <f>G21+G22+G23</f>
        <v>7</v>
      </c>
      <c r="H24" s="48"/>
      <c r="I24" s="148">
        <f>I21*1000/G24</f>
        <v>146285.7142857143</v>
      </c>
      <c r="J24" s="146">
        <f>D14*24*30*H2/I24</f>
        <v>0.590625</v>
      </c>
      <c r="L24" s="142">
        <v>1024</v>
      </c>
      <c r="M24" s="142"/>
      <c r="N24" s="142"/>
      <c r="O24" s="142"/>
      <c r="P24" s="142"/>
    </row>
    <row r="25" spans="1:16" ht="12.75">
      <c r="A25" s="3"/>
      <c r="F25" s="5"/>
      <c r="G25" s="5"/>
      <c r="H25" s="5"/>
      <c r="I25" s="5"/>
      <c r="J25" s="16"/>
      <c r="L25" s="142">
        <v>2048</v>
      </c>
      <c r="M25" s="142"/>
      <c r="N25" s="142"/>
      <c r="O25" s="142"/>
      <c r="P25" s="142"/>
    </row>
    <row r="26" spans="1:16" ht="12.75">
      <c r="A26" s="26" t="s">
        <v>38</v>
      </c>
      <c r="C26" s="25"/>
      <c r="D26" s="25"/>
      <c r="F26" s="5"/>
      <c r="G26" s="16"/>
      <c r="H26" s="16"/>
      <c r="I26" s="15"/>
      <c r="J26" s="16"/>
      <c r="L26" s="142"/>
      <c r="M26" s="142"/>
      <c r="N26" s="142"/>
      <c r="O26" s="142"/>
      <c r="P26" s="142"/>
    </row>
    <row r="27" spans="1:16" ht="12.75">
      <c r="A27" s="37" t="s">
        <v>56</v>
      </c>
      <c r="L27" s="142"/>
      <c r="M27" s="142"/>
      <c r="N27" s="142"/>
      <c r="O27" s="142"/>
      <c r="P27" s="142"/>
    </row>
    <row r="28" spans="1:16" ht="12.75">
      <c r="A28" s="26" t="s">
        <v>39</v>
      </c>
      <c r="B28" s="3"/>
      <c r="L28" s="142"/>
      <c r="M28" s="142"/>
      <c r="N28" s="142"/>
      <c r="O28" s="142"/>
      <c r="P28" s="142"/>
    </row>
    <row r="29" spans="1:16" ht="12.75">
      <c r="A29" s="26"/>
      <c r="B29" s="25"/>
      <c r="L29" s="142"/>
      <c r="M29" s="142"/>
      <c r="N29" s="142"/>
      <c r="O29" s="142"/>
      <c r="P29" s="142"/>
    </row>
    <row r="30" spans="2:16" s="25" customFormat="1" ht="12.75">
      <c r="B30" s="3"/>
      <c r="C30" s="2"/>
      <c r="D30" s="2"/>
      <c r="G30" s="27"/>
      <c r="H30" s="27"/>
      <c r="I30" s="28"/>
      <c r="J30" s="27"/>
      <c r="L30" s="64"/>
      <c r="M30" s="64"/>
      <c r="N30" s="64"/>
      <c r="O30" s="64"/>
      <c r="P30" s="64"/>
    </row>
    <row r="31" spans="2:16" ht="12.75">
      <c r="B31" s="3"/>
      <c r="L31" s="142"/>
      <c r="M31" s="142"/>
      <c r="N31" s="142"/>
      <c r="O31" s="142"/>
      <c r="P31" s="142"/>
    </row>
    <row r="32" ht="12.75">
      <c r="B32" s="3"/>
    </row>
  </sheetData>
  <sheetProtection sheet="1" objects="1" scenarios="1" selectLockedCells="1"/>
  <dataValidations count="2">
    <dataValidation type="list" allowBlank="1" showInputMessage="1" showErrorMessage="1" sqref="G22">
      <formula1>$L$21:$L$22</formula1>
    </dataValidation>
    <dataValidation type="list" allowBlank="1" showInputMessage="1" showErrorMessage="1" sqref="I21">
      <formula1>$L$24:$L$25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2"/>
  </sheetPr>
  <dimension ref="A1:P33"/>
  <sheetViews>
    <sheetView workbookViewId="0" topLeftCell="A1">
      <selection activeCell="G23" sqref="G23"/>
    </sheetView>
  </sheetViews>
  <sheetFormatPr defaultColWidth="9.140625" defaultRowHeight="12.75"/>
  <cols>
    <col min="1" max="1" width="15.57421875" style="2" customWidth="1"/>
    <col min="2" max="2" width="20.28125" style="2" customWidth="1"/>
    <col min="3" max="3" width="20.7109375" style="2" customWidth="1"/>
    <col min="4" max="4" width="14.7109375" style="2" customWidth="1"/>
    <col min="5" max="5" width="19.7109375" style="2" customWidth="1"/>
    <col min="6" max="6" width="12.8515625" style="2" customWidth="1"/>
    <col min="7" max="7" width="8.140625" style="7" customWidth="1"/>
    <col min="8" max="8" width="7.28125" style="7" customWidth="1"/>
    <col min="9" max="9" width="10.4218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46</v>
      </c>
      <c r="C1" s="65" t="s">
        <v>98</v>
      </c>
      <c r="D1" s="41"/>
      <c r="H1" s="2"/>
      <c r="I1" s="2"/>
      <c r="J1" s="2"/>
    </row>
    <row r="2" spans="1:3" ht="12.75">
      <c r="A2" s="3" t="s">
        <v>34</v>
      </c>
      <c r="B2" s="5"/>
      <c r="C2" s="78" t="s">
        <v>139</v>
      </c>
    </row>
    <row r="3" spans="1:10" ht="12.75">
      <c r="A3" s="3"/>
      <c r="B3" s="5"/>
      <c r="C3" s="81"/>
      <c r="F3" s="117"/>
      <c r="G3" s="117"/>
      <c r="H3" s="150"/>
      <c r="I3" s="151"/>
      <c r="J3" s="152"/>
    </row>
    <row r="4" spans="1:10" ht="12.75">
      <c r="A4" s="3" t="s">
        <v>97</v>
      </c>
      <c r="B4" s="5"/>
      <c r="C4" s="5"/>
      <c r="F4" s="117"/>
      <c r="G4" s="117"/>
      <c r="H4" s="150"/>
      <c r="I4" s="151"/>
      <c r="J4" s="152"/>
    </row>
    <row r="5" spans="1:10" ht="12.75">
      <c r="A5" s="3"/>
      <c r="B5" s="42">
        <v>10</v>
      </c>
      <c r="C5" s="66">
        <f>0.0011*0.5*B5</f>
        <v>0.0055000000000000005</v>
      </c>
      <c r="D5" s="29">
        <v>1</v>
      </c>
      <c r="F5" s="51"/>
      <c r="G5" s="51" t="s">
        <v>176</v>
      </c>
      <c r="H5" s="83">
        <v>12</v>
      </c>
      <c r="I5" s="84" t="s">
        <v>177</v>
      </c>
      <c r="J5" s="82"/>
    </row>
    <row r="6" spans="3:10" ht="12.75">
      <c r="C6" s="5" t="s">
        <v>4</v>
      </c>
      <c r="D6" s="2" t="s">
        <v>218</v>
      </c>
      <c r="F6" s="5"/>
      <c r="G6" s="16"/>
      <c r="H6" s="16"/>
      <c r="I6" s="15"/>
      <c r="J6" s="16"/>
    </row>
    <row r="7" spans="4:10" ht="12.75">
      <c r="D7" s="6"/>
      <c r="F7" s="85" t="s">
        <v>179</v>
      </c>
      <c r="G7" s="86" t="s">
        <v>235</v>
      </c>
      <c r="H7" s="87"/>
      <c r="I7" s="87" t="s">
        <v>20</v>
      </c>
      <c r="J7" s="88" t="s">
        <v>236</v>
      </c>
    </row>
    <row r="8" spans="1:10" s="3" customFormat="1" ht="12.75">
      <c r="A8" s="40" t="s">
        <v>48</v>
      </c>
      <c r="B8" s="41"/>
      <c r="F8" s="89" t="s">
        <v>15</v>
      </c>
      <c r="G8" s="16" t="s">
        <v>237</v>
      </c>
      <c r="H8" s="16" t="s">
        <v>184</v>
      </c>
      <c r="I8" s="15"/>
      <c r="J8" s="109"/>
    </row>
    <row r="9" spans="1:10" ht="12.75">
      <c r="A9" s="2">
        <v>0.035</v>
      </c>
      <c r="B9" s="49">
        <v>2.3</v>
      </c>
      <c r="C9" s="4">
        <f>A9*B9</f>
        <v>0.0805</v>
      </c>
      <c r="D9" s="29">
        <v>6</v>
      </c>
      <c r="E9" s="4">
        <f>C9*D9+C22+(C5*D5)</f>
        <v>0.5964999999999999</v>
      </c>
      <c r="F9" s="29">
        <v>5</v>
      </c>
      <c r="G9" s="92">
        <f>F9*150/E9</f>
        <v>1257.3344509639567</v>
      </c>
      <c r="H9" s="140">
        <f>G9/30</f>
        <v>41.91114836546522</v>
      </c>
      <c r="I9" s="92">
        <f>G9*D9*24</f>
        <v>181056.16093880977</v>
      </c>
      <c r="J9" s="94">
        <f>D9*24*30*H5/I9</f>
        <v>0.2863199999999999</v>
      </c>
    </row>
    <row r="10" spans="1:10" ht="12.75">
      <c r="A10" s="2" t="s">
        <v>2</v>
      </c>
      <c r="B10" s="44" t="s">
        <v>59</v>
      </c>
      <c r="C10" s="5" t="s">
        <v>4</v>
      </c>
      <c r="D10" s="2" t="s">
        <v>6</v>
      </c>
      <c r="E10" s="5" t="s">
        <v>7</v>
      </c>
      <c r="F10" s="99" t="s">
        <v>50</v>
      </c>
      <c r="G10" s="100"/>
      <c r="H10" s="13"/>
      <c r="I10" s="14"/>
      <c r="J10" s="101"/>
    </row>
    <row r="11" spans="2:10" ht="12.75">
      <c r="B11"/>
      <c r="C11" s="4"/>
      <c r="D11" s="43">
        <f>60/D9</f>
        <v>10</v>
      </c>
      <c r="E11" s="3" t="s">
        <v>91</v>
      </c>
      <c r="G11" s="17"/>
      <c r="J11" s="102"/>
    </row>
    <row r="12" spans="2:10" ht="12.75">
      <c r="B12" s="143"/>
      <c r="C12" s="3"/>
      <c r="D12" s="98">
        <f>3600/D9</f>
        <v>600</v>
      </c>
      <c r="E12" s="3" t="s">
        <v>238</v>
      </c>
      <c r="J12" s="8"/>
    </row>
    <row r="13" spans="1:16" s="3" customFormat="1" ht="12.75">
      <c r="A13"/>
      <c r="B13" s="2"/>
      <c r="D13" s="141" t="s">
        <v>239</v>
      </c>
      <c r="J13" s="6"/>
      <c r="L13" s="112"/>
      <c r="M13" s="112"/>
      <c r="N13" s="112"/>
      <c r="O13" s="112"/>
      <c r="P13" s="112"/>
    </row>
    <row r="14" spans="6:16" ht="12.75">
      <c r="F14" s="85" t="s">
        <v>179</v>
      </c>
      <c r="G14" s="86" t="s">
        <v>235</v>
      </c>
      <c r="H14" s="87"/>
      <c r="I14" s="87" t="s">
        <v>20</v>
      </c>
      <c r="J14" s="88" t="s">
        <v>236</v>
      </c>
      <c r="L14" s="142"/>
      <c r="M14" s="142"/>
      <c r="N14" s="142"/>
      <c r="O14" s="142"/>
      <c r="P14" s="142"/>
    </row>
    <row r="15" spans="1:16" ht="12.75">
      <c r="A15" s="40" t="s">
        <v>52</v>
      </c>
      <c r="B15" s="3"/>
      <c r="C15" s="3"/>
      <c r="D15" s="3"/>
      <c r="E15" s="3"/>
      <c r="F15" s="89" t="s">
        <v>15</v>
      </c>
      <c r="G15" s="16" t="s">
        <v>237</v>
      </c>
      <c r="H15" s="16" t="s">
        <v>184</v>
      </c>
      <c r="I15" s="15"/>
      <c r="J15" s="109"/>
      <c r="L15" s="142"/>
      <c r="M15" s="142"/>
      <c r="N15" s="142"/>
      <c r="O15" s="142"/>
      <c r="P15" s="142"/>
    </row>
    <row r="16" spans="1:16" ht="12.75">
      <c r="A16" s="2">
        <v>0.035</v>
      </c>
      <c r="B16" s="49">
        <v>1.2</v>
      </c>
      <c r="C16" s="4">
        <f>A16*B16</f>
        <v>0.042</v>
      </c>
      <c r="D16" s="29">
        <v>1</v>
      </c>
      <c r="E16" s="4">
        <f>C16*D16+C22</f>
        <v>0.15</v>
      </c>
      <c r="F16" s="29">
        <v>5</v>
      </c>
      <c r="G16" s="92">
        <f>F16*150/E16</f>
        <v>5000</v>
      </c>
      <c r="H16" s="140">
        <f>G16/30</f>
        <v>166.66666666666666</v>
      </c>
      <c r="I16" s="92">
        <f>G16*D16*24</f>
        <v>120000</v>
      </c>
      <c r="J16" s="94">
        <f>D16*24*30*H5/I16</f>
        <v>0.072</v>
      </c>
      <c r="L16" s="142"/>
      <c r="M16" s="142"/>
      <c r="N16" s="142"/>
      <c r="O16" s="142"/>
      <c r="P16" s="142"/>
    </row>
    <row r="17" spans="1:16" ht="12.75">
      <c r="A17" s="2" t="s">
        <v>2</v>
      </c>
      <c r="B17" s="44" t="s">
        <v>59</v>
      </c>
      <c r="C17" s="5" t="s">
        <v>4</v>
      </c>
      <c r="D17" s="2" t="s">
        <v>6</v>
      </c>
      <c r="E17" s="5" t="s">
        <v>7</v>
      </c>
      <c r="F17" s="99" t="s">
        <v>50</v>
      </c>
      <c r="G17" s="100"/>
      <c r="H17" s="13"/>
      <c r="I17" s="14"/>
      <c r="J17" s="101"/>
      <c r="L17" s="142"/>
      <c r="M17" s="142"/>
      <c r="N17" s="142"/>
      <c r="O17" s="142"/>
      <c r="P17" s="142"/>
    </row>
    <row r="18" spans="2:16" ht="12.75">
      <c r="B18"/>
      <c r="C18" s="4"/>
      <c r="D18" s="43">
        <f>60/D16</f>
        <v>60</v>
      </c>
      <c r="E18" s="3" t="s">
        <v>91</v>
      </c>
      <c r="J18" s="8"/>
      <c r="L18" s="142"/>
      <c r="M18" s="142"/>
      <c r="N18" s="142"/>
      <c r="O18" s="142"/>
      <c r="P18" s="142"/>
    </row>
    <row r="19" spans="2:16" ht="12.75">
      <c r="B19" s="36"/>
      <c r="C19" s="3"/>
      <c r="D19" s="98">
        <f>3600/D16</f>
        <v>3600</v>
      </c>
      <c r="E19" s="3" t="s">
        <v>238</v>
      </c>
      <c r="J19" s="8"/>
      <c r="L19" s="142"/>
      <c r="M19" s="142"/>
      <c r="N19" s="142"/>
      <c r="O19" s="142"/>
      <c r="P19" s="142"/>
    </row>
    <row r="20" spans="1:16" ht="12.75">
      <c r="A20"/>
      <c r="C20"/>
      <c r="D20" s="141" t="s">
        <v>239</v>
      </c>
      <c r="J20" s="8"/>
      <c r="L20" s="142"/>
      <c r="M20" s="142"/>
      <c r="N20" s="142"/>
      <c r="O20" s="142"/>
      <c r="P20" s="142"/>
    </row>
    <row r="21" spans="1:16" ht="12.75">
      <c r="A21" s="1" t="s">
        <v>0</v>
      </c>
      <c r="B21"/>
      <c r="C21" s="1"/>
      <c r="D21" s="1"/>
      <c r="F21" s="85" t="s">
        <v>193</v>
      </c>
      <c r="G21" s="45"/>
      <c r="H21" s="45"/>
      <c r="I21" s="87" t="s">
        <v>136</v>
      </c>
      <c r="J21" s="144" t="s">
        <v>181</v>
      </c>
      <c r="L21" s="142">
        <v>0</v>
      </c>
      <c r="M21" s="142"/>
      <c r="N21" s="142"/>
      <c r="O21" s="142"/>
      <c r="P21" s="142"/>
    </row>
    <row r="22" spans="1:16" ht="12.75">
      <c r="A22" s="2">
        <v>3E-05</v>
      </c>
      <c r="B22" s="2">
        <v>3600</v>
      </c>
      <c r="C22" s="2">
        <f>A22*B22</f>
        <v>0.108</v>
      </c>
      <c r="F22" s="46" t="s">
        <v>22</v>
      </c>
      <c r="G22" s="5">
        <v>5</v>
      </c>
      <c r="H22" s="5"/>
      <c r="I22" s="168">
        <v>2048</v>
      </c>
      <c r="J22" s="147" t="s">
        <v>241</v>
      </c>
      <c r="L22" s="142">
        <v>4</v>
      </c>
      <c r="M22" s="142"/>
      <c r="N22" s="142"/>
      <c r="O22" s="142"/>
      <c r="P22" s="142"/>
    </row>
    <row r="23" spans="1:16" ht="12.75">
      <c r="A23" s="5" t="s">
        <v>2</v>
      </c>
      <c r="B23" s="5" t="s">
        <v>5</v>
      </c>
      <c r="C23" s="5" t="s">
        <v>4</v>
      </c>
      <c r="F23" s="46" t="s">
        <v>53</v>
      </c>
      <c r="G23" s="42">
        <v>4</v>
      </c>
      <c r="H23" s="47" t="s">
        <v>240</v>
      </c>
      <c r="I23" s="52" t="s">
        <v>29</v>
      </c>
      <c r="J23" s="145">
        <f>D9*24*30*H5/I25</f>
        <v>0.2278125</v>
      </c>
      <c r="L23" s="142"/>
      <c r="M23" s="142"/>
      <c r="N23" s="142"/>
      <c r="O23" s="142"/>
      <c r="P23" s="142"/>
    </row>
    <row r="24" spans="2:16" ht="12.75">
      <c r="B24" s="1"/>
      <c r="F24" s="46" t="s">
        <v>54</v>
      </c>
      <c r="G24" s="153">
        <v>0</v>
      </c>
      <c r="H24" s="5"/>
      <c r="I24" s="52" t="s">
        <v>30</v>
      </c>
      <c r="J24" s="147" t="s">
        <v>242</v>
      </c>
      <c r="L24" s="142">
        <v>1024</v>
      </c>
      <c r="M24" s="142"/>
      <c r="N24" s="142"/>
      <c r="O24" s="142"/>
      <c r="P24" s="142"/>
    </row>
    <row r="25" spans="1:16" ht="12.75">
      <c r="A25" s="1" t="s">
        <v>243</v>
      </c>
      <c r="F25" s="24" t="s">
        <v>55</v>
      </c>
      <c r="G25" s="48">
        <f>G22+G23+G24</f>
        <v>9</v>
      </c>
      <c r="H25" s="48"/>
      <c r="I25" s="148">
        <f>I22*1000/G25</f>
        <v>227555.55555555556</v>
      </c>
      <c r="J25" s="146">
        <f>D16*24*30*H5/I25</f>
        <v>0.037968749999999996</v>
      </c>
      <c r="L25" s="142">
        <v>2048</v>
      </c>
      <c r="M25" s="142"/>
      <c r="N25" s="142"/>
      <c r="O25" s="142"/>
      <c r="P25" s="142"/>
    </row>
    <row r="26" spans="1:16" ht="12.75">
      <c r="A26" s="3"/>
      <c r="F26" s="5"/>
      <c r="G26" s="5"/>
      <c r="H26" s="5"/>
      <c r="I26" s="5"/>
      <c r="J26" s="16"/>
      <c r="M26" s="142"/>
      <c r="N26" s="142"/>
      <c r="O26" s="142"/>
      <c r="P26" s="142"/>
    </row>
    <row r="27" spans="1:16" ht="12.75">
      <c r="A27" s="26" t="s">
        <v>38</v>
      </c>
      <c r="C27" s="25"/>
      <c r="D27" s="25"/>
      <c r="F27" s="5"/>
      <c r="G27" s="16"/>
      <c r="H27" s="16"/>
      <c r="I27" s="15"/>
      <c r="J27" s="16"/>
      <c r="L27" s="142"/>
      <c r="M27" s="142"/>
      <c r="N27" s="142"/>
      <c r="O27" s="142"/>
      <c r="P27" s="142"/>
    </row>
    <row r="28" spans="1:16" ht="12.75">
      <c r="A28" s="37" t="s">
        <v>56</v>
      </c>
      <c r="L28" s="142"/>
      <c r="M28" s="142"/>
      <c r="N28" s="142"/>
      <c r="O28" s="142"/>
      <c r="P28" s="142"/>
    </row>
    <row r="29" spans="1:16" ht="12.75">
      <c r="A29" s="26" t="s">
        <v>39</v>
      </c>
      <c r="B29" s="3"/>
      <c r="L29" s="142"/>
      <c r="M29" s="142"/>
      <c r="N29" s="142"/>
      <c r="O29" s="142"/>
      <c r="P29" s="142"/>
    </row>
    <row r="30" spans="1:16" ht="12.75">
      <c r="A30" s="26"/>
      <c r="B30" s="25"/>
      <c r="L30" s="142"/>
      <c r="M30" s="142"/>
      <c r="N30" s="142"/>
      <c r="O30" s="142"/>
      <c r="P30" s="142"/>
    </row>
    <row r="31" spans="2:16" s="25" customFormat="1" ht="12.75">
      <c r="B31" s="3"/>
      <c r="C31" s="2"/>
      <c r="D31" s="2"/>
      <c r="G31" s="27"/>
      <c r="H31" s="27"/>
      <c r="I31" s="28"/>
      <c r="J31" s="27"/>
      <c r="L31" s="64"/>
      <c r="M31" s="64"/>
      <c r="N31" s="64"/>
      <c r="O31" s="64"/>
      <c r="P31" s="64"/>
    </row>
    <row r="32" spans="2:16" ht="12.75">
      <c r="B32" s="3"/>
      <c r="L32" s="142"/>
      <c r="M32" s="142"/>
      <c r="N32" s="142"/>
      <c r="O32" s="142"/>
      <c r="P32" s="142"/>
    </row>
    <row r="33" ht="12.75">
      <c r="B33" s="3"/>
    </row>
  </sheetData>
  <sheetProtection sheet="1" objects="1" scenarios="1" selectLockedCells="1"/>
  <dataValidations count="2">
    <dataValidation type="list" allowBlank="1" showInputMessage="1" showErrorMessage="1" sqref="I22">
      <formula1>$L$24:$L$25</formula1>
    </dataValidation>
    <dataValidation type="list" allowBlank="1" showInputMessage="1" showErrorMessage="1" sqref="G23">
      <formula1>$L$21:$L$22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2"/>
  </sheetPr>
  <dimension ref="A1:P33"/>
  <sheetViews>
    <sheetView workbookViewId="0" topLeftCell="A1">
      <selection activeCell="I22" sqref="I22"/>
    </sheetView>
  </sheetViews>
  <sheetFormatPr defaultColWidth="9.140625" defaultRowHeight="12.75"/>
  <cols>
    <col min="1" max="1" width="15.57421875" style="2" customWidth="1"/>
    <col min="2" max="2" width="20.28125" style="2" customWidth="1"/>
    <col min="3" max="3" width="20.7109375" style="2" customWidth="1"/>
    <col min="4" max="4" width="14.7109375" style="2" customWidth="1"/>
    <col min="5" max="5" width="19.7109375" style="2" customWidth="1"/>
    <col min="6" max="6" width="12.8515625" style="2" customWidth="1"/>
    <col min="7" max="7" width="8.140625" style="7" customWidth="1"/>
    <col min="8" max="8" width="7.28125" style="7" customWidth="1"/>
    <col min="9" max="9" width="10.4218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46</v>
      </c>
      <c r="C1" s="65" t="s">
        <v>99</v>
      </c>
      <c r="D1" s="41"/>
      <c r="H1" s="2"/>
      <c r="I1" s="2"/>
      <c r="J1" s="2"/>
    </row>
    <row r="2" spans="1:3" ht="12.75">
      <c r="A2" s="3" t="s">
        <v>34</v>
      </c>
      <c r="B2" s="5"/>
      <c r="C2" s="78" t="s">
        <v>139</v>
      </c>
    </row>
    <row r="3" spans="1:10" ht="12.75">
      <c r="A3" s="3"/>
      <c r="B3" s="5"/>
      <c r="C3" s="81"/>
      <c r="F3" s="117"/>
      <c r="G3" s="117"/>
      <c r="H3" s="150"/>
      <c r="I3" s="151"/>
      <c r="J3" s="152"/>
    </row>
    <row r="4" spans="1:10" ht="12.75">
      <c r="A4" s="3" t="s">
        <v>97</v>
      </c>
      <c r="B4" s="5"/>
      <c r="C4" s="5"/>
      <c r="F4" s="117"/>
      <c r="G4" s="117"/>
      <c r="H4" s="150"/>
      <c r="I4" s="151"/>
      <c r="J4" s="152"/>
    </row>
    <row r="5" spans="1:10" ht="12.75">
      <c r="A5" s="3"/>
      <c r="B5" s="42">
        <v>10</v>
      </c>
      <c r="C5" s="66">
        <f>0.0011*0.5*B5</f>
        <v>0.0055000000000000005</v>
      </c>
      <c r="D5" s="29">
        <v>1</v>
      </c>
      <c r="F5" s="51"/>
      <c r="G5" s="51" t="s">
        <v>176</v>
      </c>
      <c r="H5" s="83">
        <v>12</v>
      </c>
      <c r="I5" s="84" t="s">
        <v>177</v>
      </c>
      <c r="J5" s="82"/>
    </row>
    <row r="6" spans="3:10" ht="12.75">
      <c r="C6" s="5" t="s">
        <v>4</v>
      </c>
      <c r="D6" s="2" t="s">
        <v>218</v>
      </c>
      <c r="F6" s="5"/>
      <c r="G6" s="16"/>
      <c r="H6" s="16"/>
      <c r="I6" s="15"/>
      <c r="J6" s="16"/>
    </row>
    <row r="7" spans="4:10" ht="12.75">
      <c r="D7" s="6"/>
      <c r="F7" s="85" t="s">
        <v>179</v>
      </c>
      <c r="G7" s="86" t="s">
        <v>235</v>
      </c>
      <c r="H7" s="87"/>
      <c r="I7" s="87" t="s">
        <v>20</v>
      </c>
      <c r="J7" s="88" t="s">
        <v>236</v>
      </c>
    </row>
    <row r="8" spans="1:10" s="3" customFormat="1" ht="12.75">
      <c r="A8" s="40" t="s">
        <v>48</v>
      </c>
      <c r="B8" s="41"/>
      <c r="F8" s="89" t="s">
        <v>15</v>
      </c>
      <c r="G8" s="16" t="s">
        <v>237</v>
      </c>
      <c r="H8" s="16" t="s">
        <v>184</v>
      </c>
      <c r="I8" s="15"/>
      <c r="J8" s="109"/>
    </row>
    <row r="9" spans="1:10" ht="12.75">
      <c r="A9" s="2">
        <v>0.035</v>
      </c>
      <c r="B9" s="49">
        <v>2.8</v>
      </c>
      <c r="C9" s="4">
        <f>A9*B9</f>
        <v>0.098</v>
      </c>
      <c r="D9" s="29">
        <v>6</v>
      </c>
      <c r="E9" s="4">
        <f>C9*D9+C22+(C5*D5)</f>
        <v>0.7015</v>
      </c>
      <c r="F9" s="29">
        <v>5</v>
      </c>
      <c r="G9" s="92">
        <f>F9*150/E9</f>
        <v>1069.1375623663578</v>
      </c>
      <c r="H9" s="140">
        <f>G9/30</f>
        <v>35.63791874554526</v>
      </c>
      <c r="I9" s="92">
        <f>G9*D9*24</f>
        <v>153955.8089807555</v>
      </c>
      <c r="J9" s="94">
        <f>D9*24*30*H5/I9</f>
        <v>0.33672</v>
      </c>
    </row>
    <row r="10" spans="1:10" ht="12.75">
      <c r="A10" s="2" t="s">
        <v>2</v>
      </c>
      <c r="B10" s="44" t="s">
        <v>59</v>
      </c>
      <c r="C10" s="5" t="s">
        <v>4</v>
      </c>
      <c r="D10" s="2" t="s">
        <v>6</v>
      </c>
      <c r="E10" s="5" t="s">
        <v>7</v>
      </c>
      <c r="F10" s="99" t="s">
        <v>50</v>
      </c>
      <c r="G10" s="100"/>
      <c r="H10" s="13"/>
      <c r="I10" s="14"/>
      <c r="J10" s="101"/>
    </row>
    <row r="11" spans="2:10" ht="12.75">
      <c r="B11"/>
      <c r="C11" s="4"/>
      <c r="D11" s="43">
        <f>60/D9</f>
        <v>10</v>
      </c>
      <c r="E11" s="3" t="s">
        <v>91</v>
      </c>
      <c r="G11" s="17"/>
      <c r="J11" s="102"/>
    </row>
    <row r="12" spans="2:10" ht="12.75">
      <c r="B12" s="143"/>
      <c r="C12" s="3"/>
      <c r="D12" s="98">
        <f>3600/D9</f>
        <v>600</v>
      </c>
      <c r="E12" s="3" t="s">
        <v>238</v>
      </c>
      <c r="J12" s="8"/>
    </row>
    <row r="13" spans="1:16" s="3" customFormat="1" ht="12.75">
      <c r="A13"/>
      <c r="B13" s="2"/>
      <c r="D13" s="141" t="s">
        <v>239</v>
      </c>
      <c r="J13" s="6"/>
      <c r="L13" s="112"/>
      <c r="M13" s="112"/>
      <c r="N13" s="112"/>
      <c r="O13" s="112"/>
      <c r="P13" s="112"/>
    </row>
    <row r="14" spans="6:16" ht="12.75">
      <c r="F14" s="85" t="s">
        <v>179</v>
      </c>
      <c r="G14" s="86" t="s">
        <v>235</v>
      </c>
      <c r="H14" s="87"/>
      <c r="I14" s="87" t="s">
        <v>20</v>
      </c>
      <c r="J14" s="88" t="s">
        <v>236</v>
      </c>
      <c r="L14" s="142"/>
      <c r="M14" s="142"/>
      <c r="N14" s="142"/>
      <c r="O14" s="142"/>
      <c r="P14" s="142"/>
    </row>
    <row r="15" spans="1:16" ht="12.75">
      <c r="A15" s="40" t="s">
        <v>52</v>
      </c>
      <c r="B15" s="3"/>
      <c r="C15" s="3"/>
      <c r="D15" s="3"/>
      <c r="E15" s="3"/>
      <c r="F15" s="89" t="s">
        <v>15</v>
      </c>
      <c r="G15" s="16" t="s">
        <v>237</v>
      </c>
      <c r="H15" s="16" t="s">
        <v>184</v>
      </c>
      <c r="I15" s="15"/>
      <c r="J15" s="109"/>
      <c r="L15" s="142"/>
      <c r="M15" s="142"/>
      <c r="N15" s="142"/>
      <c r="O15" s="142"/>
      <c r="P15" s="142"/>
    </row>
    <row r="16" spans="1:16" ht="12.75">
      <c r="A16" s="2">
        <v>0.035</v>
      </c>
      <c r="B16" s="49">
        <v>1.6</v>
      </c>
      <c r="C16" s="4">
        <f>A16*B16</f>
        <v>0.05600000000000001</v>
      </c>
      <c r="D16" s="29">
        <v>1</v>
      </c>
      <c r="E16" s="4">
        <f>C16*D16+C22</f>
        <v>0.164</v>
      </c>
      <c r="F16" s="29">
        <v>5</v>
      </c>
      <c r="G16" s="92">
        <f>F16*150/E16</f>
        <v>4573.170731707317</v>
      </c>
      <c r="H16" s="140">
        <f>G16/30</f>
        <v>152.4390243902439</v>
      </c>
      <c r="I16" s="92">
        <f>G16*D16*24</f>
        <v>109756.09756097561</v>
      </c>
      <c r="J16" s="94">
        <f>D16*24*30*H5/I16</f>
        <v>0.07872</v>
      </c>
      <c r="L16" s="142"/>
      <c r="M16" s="142"/>
      <c r="N16" s="142"/>
      <c r="O16" s="142"/>
      <c r="P16" s="142"/>
    </row>
    <row r="17" spans="1:16" ht="12.75">
      <c r="A17" s="2" t="s">
        <v>2</v>
      </c>
      <c r="B17" s="44" t="s">
        <v>59</v>
      </c>
      <c r="C17" s="5" t="s">
        <v>4</v>
      </c>
      <c r="D17" s="2" t="s">
        <v>6</v>
      </c>
      <c r="E17" s="5" t="s">
        <v>7</v>
      </c>
      <c r="F17" s="99" t="s">
        <v>50</v>
      </c>
      <c r="G17" s="100"/>
      <c r="H17" s="13"/>
      <c r="I17" s="14"/>
      <c r="J17" s="101"/>
      <c r="L17" s="142"/>
      <c r="M17" s="142"/>
      <c r="N17" s="142"/>
      <c r="O17" s="142"/>
      <c r="P17" s="142"/>
    </row>
    <row r="18" spans="2:16" ht="12.75">
      <c r="B18"/>
      <c r="C18" s="4"/>
      <c r="D18" s="43">
        <f>60/D16</f>
        <v>60</v>
      </c>
      <c r="E18" s="3" t="s">
        <v>91</v>
      </c>
      <c r="J18" s="8"/>
      <c r="L18" s="142"/>
      <c r="M18" s="142"/>
      <c r="N18" s="142"/>
      <c r="O18" s="142"/>
      <c r="P18" s="142"/>
    </row>
    <row r="19" spans="2:16" ht="12.75">
      <c r="B19" s="36"/>
      <c r="C19" s="3"/>
      <c r="D19" s="98">
        <f>3600/D16</f>
        <v>3600</v>
      </c>
      <c r="E19" s="3" t="s">
        <v>238</v>
      </c>
      <c r="J19" s="8"/>
      <c r="L19" s="142"/>
      <c r="M19" s="142"/>
      <c r="N19" s="142"/>
      <c r="O19" s="142"/>
      <c r="P19" s="142"/>
    </row>
    <row r="20" spans="1:16" ht="12.75">
      <c r="A20"/>
      <c r="C20"/>
      <c r="D20" s="141" t="s">
        <v>239</v>
      </c>
      <c r="J20" s="8"/>
      <c r="L20" s="142"/>
      <c r="M20" s="142"/>
      <c r="N20" s="142"/>
      <c r="O20" s="142"/>
      <c r="P20" s="142"/>
    </row>
    <row r="21" spans="1:16" ht="12.75">
      <c r="A21" s="1" t="s">
        <v>0</v>
      </c>
      <c r="B21"/>
      <c r="C21" s="1"/>
      <c r="D21" s="1"/>
      <c r="F21" s="85" t="s">
        <v>193</v>
      </c>
      <c r="G21" s="45"/>
      <c r="H21" s="45"/>
      <c r="I21" s="87" t="s">
        <v>136</v>
      </c>
      <c r="J21" s="144" t="s">
        <v>181</v>
      </c>
      <c r="L21" s="142">
        <v>0</v>
      </c>
      <c r="M21" s="142"/>
      <c r="N21" s="142"/>
      <c r="O21" s="142"/>
      <c r="P21" s="142"/>
    </row>
    <row r="22" spans="1:16" ht="12.75">
      <c r="A22" s="2">
        <v>3E-05</v>
      </c>
      <c r="B22" s="2">
        <v>3600</v>
      </c>
      <c r="C22" s="2">
        <f>A22*B22</f>
        <v>0.108</v>
      </c>
      <c r="F22" s="46" t="s">
        <v>22</v>
      </c>
      <c r="G22" s="5">
        <v>5</v>
      </c>
      <c r="H22" s="5"/>
      <c r="I22" s="168">
        <v>2048</v>
      </c>
      <c r="J22" s="147" t="s">
        <v>241</v>
      </c>
      <c r="L22" s="142">
        <v>4</v>
      </c>
      <c r="M22" s="142"/>
      <c r="N22" s="142"/>
      <c r="O22" s="142"/>
      <c r="P22" s="142"/>
    </row>
    <row r="23" spans="1:16" ht="12.75">
      <c r="A23" s="5" t="s">
        <v>2</v>
      </c>
      <c r="B23" s="5" t="s">
        <v>5</v>
      </c>
      <c r="C23" s="5" t="s">
        <v>4</v>
      </c>
      <c r="F23" s="46" t="s">
        <v>53</v>
      </c>
      <c r="G23" s="42">
        <v>4</v>
      </c>
      <c r="H23" s="47" t="s">
        <v>240</v>
      </c>
      <c r="I23" s="52" t="s">
        <v>29</v>
      </c>
      <c r="J23" s="145">
        <f>D9*24*30*H5/I25</f>
        <v>0.2784375</v>
      </c>
      <c r="L23" s="142"/>
      <c r="M23" s="142"/>
      <c r="N23" s="142"/>
      <c r="O23" s="142"/>
      <c r="P23" s="142"/>
    </row>
    <row r="24" spans="2:16" ht="12.75">
      <c r="B24" s="1"/>
      <c r="F24" s="46" t="s">
        <v>54</v>
      </c>
      <c r="G24" s="153">
        <v>2</v>
      </c>
      <c r="H24" s="5"/>
      <c r="I24" s="52" t="s">
        <v>30</v>
      </c>
      <c r="J24" s="147" t="s">
        <v>242</v>
      </c>
      <c r="L24" s="142">
        <v>1024</v>
      </c>
      <c r="M24" s="142"/>
      <c r="N24" s="142"/>
      <c r="O24" s="142"/>
      <c r="P24" s="142"/>
    </row>
    <row r="25" spans="1:16" ht="12.75">
      <c r="A25" s="1" t="s">
        <v>243</v>
      </c>
      <c r="F25" s="24" t="s">
        <v>55</v>
      </c>
      <c r="G25" s="48">
        <f>G22+G23+G24</f>
        <v>11</v>
      </c>
      <c r="H25" s="48"/>
      <c r="I25" s="148">
        <f>I22*1000/G25</f>
        <v>186181.81818181818</v>
      </c>
      <c r="J25" s="146">
        <f>D16*24*30*H5/I25</f>
        <v>0.04640625</v>
      </c>
      <c r="L25" s="142">
        <v>2048</v>
      </c>
      <c r="M25" s="142"/>
      <c r="N25" s="142"/>
      <c r="O25" s="142"/>
      <c r="P25" s="142"/>
    </row>
    <row r="26" spans="1:16" ht="12.75">
      <c r="A26" s="3"/>
      <c r="F26" s="5"/>
      <c r="G26" s="5"/>
      <c r="H26" s="5"/>
      <c r="I26" s="5"/>
      <c r="J26" s="16"/>
      <c r="M26" s="142"/>
      <c r="N26" s="142"/>
      <c r="O26" s="142"/>
      <c r="P26" s="142"/>
    </row>
    <row r="27" spans="1:16" ht="12.75">
      <c r="A27" s="26" t="s">
        <v>38</v>
      </c>
      <c r="C27" s="25"/>
      <c r="D27" s="25"/>
      <c r="F27" s="5"/>
      <c r="G27" s="16"/>
      <c r="H27" s="16"/>
      <c r="I27" s="15"/>
      <c r="J27" s="16"/>
      <c r="L27" s="142"/>
      <c r="M27" s="142"/>
      <c r="N27" s="142"/>
      <c r="O27" s="142"/>
      <c r="P27" s="142"/>
    </row>
    <row r="28" spans="1:16" ht="12.75">
      <c r="A28" s="37" t="s">
        <v>56</v>
      </c>
      <c r="L28" s="142"/>
      <c r="M28" s="142"/>
      <c r="N28" s="142"/>
      <c r="O28" s="142"/>
      <c r="P28" s="142"/>
    </row>
    <row r="29" spans="1:16" ht="12.75">
      <c r="A29" s="26" t="s">
        <v>39</v>
      </c>
      <c r="B29" s="3"/>
      <c r="L29" s="142"/>
      <c r="M29" s="142"/>
      <c r="N29" s="142"/>
      <c r="O29" s="142"/>
      <c r="P29" s="142"/>
    </row>
    <row r="30" spans="1:16" ht="12.75">
      <c r="A30" s="26"/>
      <c r="B30" s="25"/>
      <c r="L30" s="142"/>
      <c r="M30" s="142"/>
      <c r="N30" s="142"/>
      <c r="O30" s="142"/>
      <c r="P30" s="142"/>
    </row>
    <row r="31" spans="2:16" s="25" customFormat="1" ht="12.75">
      <c r="B31" s="3"/>
      <c r="C31" s="2"/>
      <c r="D31" s="2"/>
      <c r="G31" s="27"/>
      <c r="H31" s="27"/>
      <c r="I31" s="28"/>
      <c r="J31" s="27"/>
      <c r="L31" s="64"/>
      <c r="M31" s="64"/>
      <c r="N31" s="64"/>
      <c r="O31" s="64"/>
      <c r="P31" s="64"/>
    </row>
    <row r="32" spans="2:16" ht="12.75">
      <c r="B32" s="3"/>
      <c r="L32" s="142"/>
      <c r="M32" s="142"/>
      <c r="N32" s="142"/>
      <c r="O32" s="142"/>
      <c r="P32" s="142"/>
    </row>
    <row r="33" ht="12.75">
      <c r="B33" s="3"/>
    </row>
  </sheetData>
  <sheetProtection sheet="1" objects="1" scenarios="1" selectLockedCells="1"/>
  <dataValidations count="2">
    <dataValidation type="list" allowBlank="1" showInputMessage="1" showErrorMessage="1" sqref="I22">
      <formula1>$L$24:$L$25</formula1>
    </dataValidation>
    <dataValidation type="list" allowBlank="1" showInputMessage="1" showErrorMessage="1" sqref="G23">
      <formula1>$L$21:$L$22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</sheetPr>
  <dimension ref="A1:P35"/>
  <sheetViews>
    <sheetView workbookViewId="0" topLeftCell="A1">
      <selection activeCell="B6" sqref="B6"/>
    </sheetView>
  </sheetViews>
  <sheetFormatPr defaultColWidth="9.140625" defaultRowHeight="12.75"/>
  <cols>
    <col min="1" max="1" width="15.57421875" style="2" customWidth="1"/>
    <col min="2" max="2" width="20.28125" style="2" customWidth="1"/>
    <col min="3" max="3" width="20.7109375" style="2" customWidth="1"/>
    <col min="4" max="4" width="14.7109375" style="2" customWidth="1"/>
    <col min="5" max="5" width="19.7109375" style="2" customWidth="1"/>
    <col min="6" max="6" width="12.8515625" style="2" customWidth="1"/>
    <col min="7" max="7" width="8.140625" style="7" customWidth="1"/>
    <col min="8" max="8" width="7.28125" style="7" customWidth="1"/>
    <col min="9" max="9" width="10.4218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246</v>
      </c>
      <c r="C1" s="65" t="s">
        <v>89</v>
      </c>
      <c r="D1" s="41"/>
      <c r="H1" s="2"/>
      <c r="I1" s="2"/>
      <c r="J1" s="2"/>
    </row>
    <row r="2" spans="1:10" ht="12.75">
      <c r="A2" s="3" t="s">
        <v>34</v>
      </c>
      <c r="B2" s="5"/>
      <c r="C2" s="78" t="s">
        <v>139</v>
      </c>
      <c r="F2" s="51"/>
      <c r="G2" s="51" t="s">
        <v>176</v>
      </c>
      <c r="H2" s="83">
        <v>6</v>
      </c>
      <c r="I2" s="84" t="s">
        <v>177</v>
      </c>
      <c r="J2" s="82"/>
    </row>
    <row r="3" spans="6:10" ht="12.75">
      <c r="F3" s="5"/>
      <c r="G3" s="16"/>
      <c r="H3" s="16"/>
      <c r="I3" s="15"/>
      <c r="J3" s="16"/>
    </row>
    <row r="4" spans="1:10" ht="12.75">
      <c r="A4" s="40" t="s">
        <v>48</v>
      </c>
      <c r="B4" s="41"/>
      <c r="D4" s="6"/>
      <c r="F4" s="85" t="s">
        <v>179</v>
      </c>
      <c r="G4" s="86" t="s">
        <v>235</v>
      </c>
      <c r="H4" s="87"/>
      <c r="I4" s="87" t="s">
        <v>20</v>
      </c>
      <c r="J4" s="88" t="s">
        <v>236</v>
      </c>
    </row>
    <row r="5" spans="1:10" s="3" customFormat="1" ht="12.75">
      <c r="A5" s="3" t="s">
        <v>100</v>
      </c>
      <c r="F5" s="89" t="s">
        <v>15</v>
      </c>
      <c r="G5" s="16" t="s">
        <v>237</v>
      </c>
      <c r="H5" s="16" t="s">
        <v>184</v>
      </c>
      <c r="I5" s="15"/>
      <c r="J5" s="109"/>
    </row>
    <row r="6" spans="1:10" ht="12.75">
      <c r="A6" s="2">
        <v>0.02</v>
      </c>
      <c r="B6" s="42">
        <v>1</v>
      </c>
      <c r="C6" s="4">
        <f>A6*B9</f>
        <v>0.056600000000000004</v>
      </c>
      <c r="D6" s="29">
        <v>6</v>
      </c>
      <c r="E6" s="4">
        <f>(C6*D6)+(D6*B6*C24)+C21</f>
        <v>1.1556000000000002</v>
      </c>
      <c r="F6" s="29">
        <v>5</v>
      </c>
      <c r="G6" s="92">
        <f>F6*150/E6</f>
        <v>649.013499480789</v>
      </c>
      <c r="H6" s="140">
        <f>G6/30</f>
        <v>21.633783316026303</v>
      </c>
      <c r="I6" s="92">
        <f>G6*D6*24</f>
        <v>93457.94392523362</v>
      </c>
      <c r="J6" s="94">
        <f>D6*24*30*H2/I6</f>
        <v>0.2773440000000001</v>
      </c>
    </row>
    <row r="7" spans="1:10" ht="12.75">
      <c r="A7" s="2" t="s">
        <v>2</v>
      </c>
      <c r="B7" t="s">
        <v>49</v>
      </c>
      <c r="C7" s="5" t="s">
        <v>4</v>
      </c>
      <c r="D7" s="2" t="s">
        <v>6</v>
      </c>
      <c r="E7" s="5" t="s">
        <v>7</v>
      </c>
      <c r="F7" s="99" t="s">
        <v>50</v>
      </c>
      <c r="G7" s="100"/>
      <c r="H7" s="13"/>
      <c r="I7" s="14"/>
      <c r="J7" s="101"/>
    </row>
    <row r="8" spans="2:10" ht="12.75">
      <c r="B8" t="s">
        <v>51</v>
      </c>
      <c r="C8" s="4"/>
      <c r="G8" s="17"/>
      <c r="J8" s="102"/>
    </row>
    <row r="9" spans="2:10" ht="12.75">
      <c r="B9" s="98">
        <f>2.83+(1.87*(B6-1))</f>
        <v>2.83</v>
      </c>
      <c r="C9" s="3" t="s">
        <v>90</v>
      </c>
      <c r="D9" s="43">
        <f>60/D6</f>
        <v>10</v>
      </c>
      <c r="E9" s="3" t="s">
        <v>91</v>
      </c>
      <c r="J9" s="8"/>
    </row>
    <row r="10" spans="1:16" s="3" customFormat="1" ht="12.75">
      <c r="A10"/>
      <c r="B10" s="2"/>
      <c r="D10" s="98">
        <f>3600/D6</f>
        <v>600</v>
      </c>
      <c r="E10" s="3" t="s">
        <v>238</v>
      </c>
      <c r="J10" s="6"/>
      <c r="L10" s="112"/>
      <c r="M10" s="112"/>
      <c r="N10" s="112"/>
      <c r="O10" s="112"/>
      <c r="P10" s="112"/>
    </row>
    <row r="11" spans="1:16" s="3" customFormat="1" ht="12.75">
      <c r="A11"/>
      <c r="B11" s="2"/>
      <c r="D11" s="141" t="s">
        <v>239</v>
      </c>
      <c r="J11" s="6"/>
      <c r="L11" s="112"/>
      <c r="M11" s="112"/>
      <c r="N11" s="112"/>
      <c r="O11" s="112"/>
      <c r="P11" s="112"/>
    </row>
    <row r="12" spans="1:16" ht="12.75">
      <c r="A12" s="40" t="s">
        <v>52</v>
      </c>
      <c r="F12" s="85" t="s">
        <v>179</v>
      </c>
      <c r="G12" s="86" t="s">
        <v>235</v>
      </c>
      <c r="H12" s="87"/>
      <c r="I12" s="87" t="s">
        <v>20</v>
      </c>
      <c r="J12" s="88" t="s">
        <v>236</v>
      </c>
      <c r="L12" s="142"/>
      <c r="M12" s="142"/>
      <c r="N12" s="142"/>
      <c r="O12" s="142"/>
      <c r="P12" s="142"/>
    </row>
    <row r="13" spans="1:16" ht="12.75">
      <c r="A13" s="3" t="s">
        <v>101</v>
      </c>
      <c r="B13" s="3"/>
      <c r="C13" s="3"/>
      <c r="D13" s="3"/>
      <c r="E13" s="3"/>
      <c r="F13" s="89" t="s">
        <v>15</v>
      </c>
      <c r="G13" s="16" t="s">
        <v>237</v>
      </c>
      <c r="H13" s="16" t="s">
        <v>184</v>
      </c>
      <c r="I13" s="15"/>
      <c r="J13" s="109"/>
      <c r="L13" s="142"/>
      <c r="M13" s="142"/>
      <c r="N13" s="142"/>
      <c r="O13" s="142"/>
      <c r="P13" s="142"/>
    </row>
    <row r="14" spans="1:16" ht="12.75">
      <c r="A14" s="2">
        <v>0.039</v>
      </c>
      <c r="B14" s="42">
        <v>1</v>
      </c>
      <c r="C14" s="4">
        <f>A14*B17</f>
        <v>0.08736000000000001</v>
      </c>
      <c r="D14" s="29">
        <v>6</v>
      </c>
      <c r="E14" s="4">
        <f>(C14*D14)+(D14*B14*C24)+C21</f>
        <v>1.34016</v>
      </c>
      <c r="F14" s="29">
        <v>5</v>
      </c>
      <c r="G14" s="92">
        <f>F14*150/E14</f>
        <v>559.6346704871061</v>
      </c>
      <c r="H14" s="140">
        <f>G14/30</f>
        <v>18.65448901623687</v>
      </c>
      <c r="I14" s="92">
        <f>G14*D14*24</f>
        <v>80587.39255014327</v>
      </c>
      <c r="J14" s="94">
        <f>D14*24*30*H2/I14</f>
        <v>0.3216384</v>
      </c>
      <c r="L14" s="142"/>
      <c r="M14" s="142"/>
      <c r="N14" s="142"/>
      <c r="O14" s="142"/>
      <c r="P14" s="142"/>
    </row>
    <row r="15" spans="1:16" ht="12.75">
      <c r="A15" s="2" t="s">
        <v>2</v>
      </c>
      <c r="B15" t="s">
        <v>49</v>
      </c>
      <c r="C15" s="5" t="s">
        <v>4</v>
      </c>
      <c r="D15" s="2" t="s">
        <v>6</v>
      </c>
      <c r="E15" s="5" t="s">
        <v>7</v>
      </c>
      <c r="F15" s="99" t="s">
        <v>50</v>
      </c>
      <c r="G15" s="100"/>
      <c r="H15" s="13"/>
      <c r="I15" s="14"/>
      <c r="J15" s="101"/>
      <c r="L15" s="142"/>
      <c r="M15" s="142"/>
      <c r="N15" s="142"/>
      <c r="O15" s="142"/>
      <c r="P15" s="142"/>
    </row>
    <row r="16" spans="2:16" ht="12.75">
      <c r="B16" t="s">
        <v>51</v>
      </c>
      <c r="C16" s="4"/>
      <c r="J16" s="8"/>
      <c r="L16" s="142"/>
      <c r="M16" s="142"/>
      <c r="N16" s="142"/>
      <c r="O16" s="142"/>
      <c r="P16" s="142"/>
    </row>
    <row r="17" spans="2:16" ht="12.75">
      <c r="B17" s="149">
        <f>2.24+(1.87*(B14-1))</f>
        <v>2.24</v>
      </c>
      <c r="C17" s="3" t="s">
        <v>90</v>
      </c>
      <c r="D17" s="43">
        <f>60/D14</f>
        <v>10</v>
      </c>
      <c r="E17" s="3" t="s">
        <v>91</v>
      </c>
      <c r="J17" s="8"/>
      <c r="L17" s="142"/>
      <c r="M17" s="142"/>
      <c r="N17" s="142"/>
      <c r="O17" s="142"/>
      <c r="P17" s="142"/>
    </row>
    <row r="18" spans="1:16" ht="12.75">
      <c r="A18"/>
      <c r="C18"/>
      <c r="D18" s="98">
        <f>3600/D14</f>
        <v>600</v>
      </c>
      <c r="E18" s="3" t="s">
        <v>238</v>
      </c>
      <c r="J18" s="8"/>
      <c r="L18" s="142"/>
      <c r="M18" s="142"/>
      <c r="N18" s="142"/>
      <c r="O18" s="142"/>
      <c r="P18" s="142"/>
    </row>
    <row r="19" spans="1:16" ht="12.75">
      <c r="A19"/>
      <c r="C19"/>
      <c r="D19" s="141" t="s">
        <v>239</v>
      </c>
      <c r="J19" s="8"/>
      <c r="L19" s="142"/>
      <c r="M19" s="142"/>
      <c r="N19" s="142"/>
      <c r="O19" s="142"/>
      <c r="P19" s="142"/>
    </row>
    <row r="20" spans="1:16" ht="12.75">
      <c r="A20" s="1" t="s">
        <v>0</v>
      </c>
      <c r="B20"/>
      <c r="C20" s="1"/>
      <c r="D20" s="1"/>
      <c r="F20" s="85" t="s">
        <v>193</v>
      </c>
      <c r="G20" s="45"/>
      <c r="H20" s="45"/>
      <c r="I20" s="87"/>
      <c r="J20" s="144" t="s">
        <v>181</v>
      </c>
      <c r="M20" s="142"/>
      <c r="N20" s="142"/>
      <c r="O20" s="142"/>
      <c r="P20" s="142"/>
    </row>
    <row r="21" spans="1:16" ht="12.75">
      <c r="A21" s="2">
        <v>1E-05</v>
      </c>
      <c r="B21" s="2">
        <v>3600</v>
      </c>
      <c r="C21" s="2">
        <f>A21*B21</f>
        <v>0.036000000000000004</v>
      </c>
      <c r="F21" s="46" t="s">
        <v>22</v>
      </c>
      <c r="G21" s="5">
        <v>5</v>
      </c>
      <c r="H21" s="5"/>
      <c r="I21" s="154"/>
      <c r="J21" s="147" t="s">
        <v>241</v>
      </c>
      <c r="L21" s="142">
        <v>0</v>
      </c>
      <c r="M21" s="142"/>
      <c r="N21" s="142"/>
      <c r="O21" s="142"/>
      <c r="P21" s="142"/>
    </row>
    <row r="22" spans="1:16" ht="12.75">
      <c r="A22" s="5" t="s">
        <v>2</v>
      </c>
      <c r="B22" s="5" t="s">
        <v>5</v>
      </c>
      <c r="C22" s="5" t="s">
        <v>4</v>
      </c>
      <c r="F22" s="46" t="s">
        <v>53</v>
      </c>
      <c r="G22" s="42">
        <v>4</v>
      </c>
      <c r="H22" s="47" t="s">
        <v>240</v>
      </c>
      <c r="I22" s="52" t="s">
        <v>29</v>
      </c>
      <c r="J22" s="145">
        <f>D6*24*30*H2/I24</f>
        <v>0.11390625</v>
      </c>
      <c r="L22" s="142">
        <v>4</v>
      </c>
      <c r="M22" s="142"/>
      <c r="N22" s="142"/>
      <c r="O22" s="142"/>
      <c r="P22" s="142"/>
    </row>
    <row r="23" spans="1:16" ht="12.75">
      <c r="A23" s="3" t="s">
        <v>60</v>
      </c>
      <c r="B23" s="3"/>
      <c r="C23" s="4"/>
      <c r="F23" s="46" t="s">
        <v>54</v>
      </c>
      <c r="G23" s="153">
        <v>0</v>
      </c>
      <c r="H23" s="5"/>
      <c r="I23" s="52" t="s">
        <v>30</v>
      </c>
      <c r="J23" s="147" t="s">
        <v>242</v>
      </c>
      <c r="L23" s="142"/>
      <c r="M23" s="142"/>
      <c r="N23" s="142"/>
      <c r="O23" s="142"/>
      <c r="P23" s="142"/>
    </row>
    <row r="24" spans="1:16" ht="12.75">
      <c r="A24" s="2">
        <v>0.26</v>
      </c>
      <c r="B24" s="49">
        <v>0.5</v>
      </c>
      <c r="C24" s="4">
        <f>A24*B24</f>
        <v>0.13</v>
      </c>
      <c r="F24" s="24" t="s">
        <v>55</v>
      </c>
      <c r="G24" s="48">
        <f>G21+G22+G23</f>
        <v>9</v>
      </c>
      <c r="H24" s="48"/>
      <c r="I24" s="148">
        <f>2048000/G24</f>
        <v>227555.55555555556</v>
      </c>
      <c r="J24" s="146">
        <f>D14*24*30*H2/I24</f>
        <v>0.11390625</v>
      </c>
      <c r="L24" s="142"/>
      <c r="M24" s="142"/>
      <c r="N24" s="142"/>
      <c r="O24" s="142"/>
      <c r="P24" s="142"/>
    </row>
    <row r="25" spans="1:16" ht="12.75">
      <c r="A25" s="2" t="s">
        <v>2</v>
      </c>
      <c r="B25" s="2" t="s">
        <v>3</v>
      </c>
      <c r="C25" s="5" t="s">
        <v>21</v>
      </c>
      <c r="F25" s="5"/>
      <c r="G25" s="5"/>
      <c r="H25" s="5"/>
      <c r="I25" s="5"/>
      <c r="J25" s="16"/>
      <c r="L25" s="142"/>
      <c r="M25" s="142"/>
      <c r="N25" s="142"/>
      <c r="O25" s="142"/>
      <c r="P25" s="142"/>
    </row>
    <row r="26" spans="2:16" ht="12.75">
      <c r="B26" s="1"/>
      <c r="D26" s="25"/>
      <c r="F26" s="5"/>
      <c r="G26" s="16"/>
      <c r="H26" s="16"/>
      <c r="I26" s="15"/>
      <c r="J26" s="16"/>
      <c r="L26" s="142"/>
      <c r="M26" s="142"/>
      <c r="N26" s="142"/>
      <c r="O26" s="142"/>
      <c r="P26" s="142"/>
    </row>
    <row r="27" spans="1:16" ht="12.75">
      <c r="A27" s="1" t="s">
        <v>247</v>
      </c>
      <c r="L27" s="142"/>
      <c r="M27" s="142"/>
      <c r="N27" s="142"/>
      <c r="O27" s="142"/>
      <c r="P27" s="142"/>
    </row>
    <row r="28" spans="1:16" ht="12.75">
      <c r="A28" s="3"/>
      <c r="L28" s="142"/>
      <c r="M28" s="142"/>
      <c r="N28" s="142"/>
      <c r="O28" s="142"/>
      <c r="P28" s="142"/>
    </row>
    <row r="29" spans="1:16" ht="12.75">
      <c r="A29" s="26" t="s">
        <v>38</v>
      </c>
      <c r="C29" s="25"/>
      <c r="L29" s="142"/>
      <c r="M29" s="142"/>
      <c r="N29" s="142"/>
      <c r="O29" s="142"/>
      <c r="P29" s="142"/>
    </row>
    <row r="30" spans="1:16" s="25" customFormat="1" ht="12.75">
      <c r="A30" s="37" t="s">
        <v>56</v>
      </c>
      <c r="B30" s="2"/>
      <c r="C30" s="2"/>
      <c r="D30" s="2"/>
      <c r="G30" s="27"/>
      <c r="H30" s="27"/>
      <c r="I30" s="28"/>
      <c r="J30" s="27"/>
      <c r="L30" s="64"/>
      <c r="M30" s="64"/>
      <c r="N30" s="64"/>
      <c r="O30" s="64"/>
      <c r="P30" s="64"/>
    </row>
    <row r="31" spans="1:16" ht="12.75">
      <c r="A31" s="26" t="s">
        <v>39</v>
      </c>
      <c r="B31" s="3"/>
      <c r="L31" s="142"/>
      <c r="M31" s="142"/>
      <c r="N31" s="142"/>
      <c r="O31" s="142"/>
      <c r="P31" s="142"/>
    </row>
    <row r="32" spans="1:2" ht="12.75">
      <c r="A32" s="26"/>
      <c r="B32" s="25"/>
    </row>
    <row r="33" spans="1:2" ht="12.75">
      <c r="A33" s="25"/>
      <c r="B33" s="3"/>
    </row>
    <row r="34" ht="12.75">
      <c r="B34" s="3"/>
    </row>
    <row r="35" ht="12.75">
      <c r="B35" s="3"/>
    </row>
  </sheetData>
  <sheetProtection sheet="1" objects="1" scenarios="1" selectLockedCells="1"/>
  <dataValidations count="1">
    <dataValidation type="list" allowBlank="1" showInputMessage="1" showErrorMessage="1" sqref="G22">
      <formula1>$L$21:$L$22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</sheetPr>
  <dimension ref="A1:P35"/>
  <sheetViews>
    <sheetView workbookViewId="0" topLeftCell="A1">
      <selection activeCell="C2" sqref="C2"/>
    </sheetView>
  </sheetViews>
  <sheetFormatPr defaultColWidth="9.140625" defaultRowHeight="12.75"/>
  <cols>
    <col min="1" max="1" width="15.57421875" style="2" customWidth="1"/>
    <col min="2" max="2" width="20.28125" style="2" customWidth="1"/>
    <col min="3" max="3" width="20.7109375" style="2" customWidth="1"/>
    <col min="4" max="4" width="14.7109375" style="2" customWidth="1"/>
    <col min="5" max="5" width="19.7109375" style="2" customWidth="1"/>
    <col min="6" max="6" width="12.8515625" style="2" customWidth="1"/>
    <col min="7" max="7" width="8.140625" style="7" customWidth="1"/>
    <col min="8" max="8" width="7.28125" style="7" customWidth="1"/>
    <col min="9" max="9" width="10.4218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246</v>
      </c>
      <c r="C1" s="65" t="s">
        <v>92</v>
      </c>
      <c r="D1" s="41"/>
      <c r="H1" s="2"/>
      <c r="I1" s="2"/>
      <c r="J1" s="2"/>
    </row>
    <row r="2" spans="1:10" ht="12.75">
      <c r="A2" s="3" t="s">
        <v>34</v>
      </c>
      <c r="B2" s="5"/>
      <c r="C2" s="78" t="s">
        <v>139</v>
      </c>
      <c r="F2" s="51"/>
      <c r="G2" s="51" t="s">
        <v>176</v>
      </c>
      <c r="H2" s="83">
        <v>6</v>
      </c>
      <c r="I2" s="84" t="s">
        <v>177</v>
      </c>
      <c r="J2" s="82"/>
    </row>
    <row r="3" spans="6:10" ht="12.75">
      <c r="F3" s="5"/>
      <c r="G3" s="16"/>
      <c r="H3" s="16"/>
      <c r="I3" s="15"/>
      <c r="J3" s="16"/>
    </row>
    <row r="4" spans="1:10" ht="12.75">
      <c r="A4" s="40" t="s">
        <v>48</v>
      </c>
      <c r="B4" s="41"/>
      <c r="D4" s="6"/>
      <c r="F4" s="85" t="s">
        <v>179</v>
      </c>
      <c r="G4" s="86" t="s">
        <v>235</v>
      </c>
      <c r="H4" s="87"/>
      <c r="I4" s="87" t="s">
        <v>20</v>
      </c>
      <c r="J4" s="88" t="s">
        <v>236</v>
      </c>
    </row>
    <row r="5" spans="1:10" s="3" customFormat="1" ht="12.75">
      <c r="A5" s="3" t="s">
        <v>100</v>
      </c>
      <c r="F5" s="89" t="s">
        <v>15</v>
      </c>
      <c r="G5" s="16" t="s">
        <v>237</v>
      </c>
      <c r="H5" s="16" t="s">
        <v>184</v>
      </c>
      <c r="I5" s="15"/>
      <c r="J5" s="109"/>
    </row>
    <row r="6" spans="1:10" ht="12.75">
      <c r="A6" s="2">
        <v>0.035</v>
      </c>
      <c r="B6" s="42">
        <v>1</v>
      </c>
      <c r="C6" s="4">
        <f>A6*B9</f>
        <v>0.09905000000000001</v>
      </c>
      <c r="D6" s="29">
        <v>6</v>
      </c>
      <c r="E6" s="4">
        <f>(C6*D6)+(D6*B6*C24)+C21</f>
        <v>1.4103</v>
      </c>
      <c r="F6" s="29">
        <v>5</v>
      </c>
      <c r="G6" s="92">
        <f>F6*150/E6</f>
        <v>531.8017443097212</v>
      </c>
      <c r="H6" s="140">
        <f>G6/30</f>
        <v>17.72672481032404</v>
      </c>
      <c r="I6" s="92">
        <f>G6*D6*24</f>
        <v>76579.45118059986</v>
      </c>
      <c r="J6" s="94">
        <f>D6*24*30*H2/I6</f>
        <v>0.33847200000000005</v>
      </c>
    </row>
    <row r="7" spans="1:10" ht="12.75">
      <c r="A7" s="2" t="s">
        <v>2</v>
      </c>
      <c r="B7" t="s">
        <v>49</v>
      </c>
      <c r="C7" s="5" t="s">
        <v>4</v>
      </c>
      <c r="D7" s="2" t="s">
        <v>6</v>
      </c>
      <c r="E7" s="5" t="s">
        <v>7</v>
      </c>
      <c r="F7" s="99" t="s">
        <v>50</v>
      </c>
      <c r="G7" s="100"/>
      <c r="H7" s="13"/>
      <c r="I7" s="14"/>
      <c r="J7" s="101"/>
    </row>
    <row r="8" spans="2:10" ht="12.75">
      <c r="B8" t="s">
        <v>51</v>
      </c>
      <c r="C8" s="4"/>
      <c r="G8" s="17"/>
      <c r="J8" s="102"/>
    </row>
    <row r="9" spans="2:10" ht="12.75">
      <c r="B9" s="98">
        <f>2.83+(1.87*(B6-1))</f>
        <v>2.83</v>
      </c>
      <c r="C9" s="3" t="s">
        <v>90</v>
      </c>
      <c r="D9" s="43">
        <f>60/D6</f>
        <v>10</v>
      </c>
      <c r="E9" s="3" t="s">
        <v>91</v>
      </c>
      <c r="J9" s="8"/>
    </row>
    <row r="10" spans="1:16" s="3" customFormat="1" ht="12.75">
      <c r="A10"/>
      <c r="B10" s="2"/>
      <c r="D10" s="98">
        <f>3600/D6</f>
        <v>600</v>
      </c>
      <c r="E10" s="3" t="s">
        <v>238</v>
      </c>
      <c r="J10" s="6"/>
      <c r="L10" s="112"/>
      <c r="M10" s="112"/>
      <c r="N10" s="112"/>
      <c r="O10" s="112"/>
      <c r="P10" s="112"/>
    </row>
    <row r="11" spans="1:16" s="3" customFormat="1" ht="12.75">
      <c r="A11"/>
      <c r="B11" s="2"/>
      <c r="D11" s="141" t="s">
        <v>239</v>
      </c>
      <c r="J11" s="6"/>
      <c r="L11" s="112"/>
      <c r="M11" s="112"/>
      <c r="N11" s="112"/>
      <c r="O11" s="112"/>
      <c r="P11" s="112"/>
    </row>
    <row r="12" spans="1:16" ht="12.75">
      <c r="A12" s="40" t="s">
        <v>52</v>
      </c>
      <c r="F12" s="85" t="s">
        <v>179</v>
      </c>
      <c r="G12" s="86" t="s">
        <v>235</v>
      </c>
      <c r="H12" s="87"/>
      <c r="I12" s="87" t="s">
        <v>20</v>
      </c>
      <c r="J12" s="88" t="s">
        <v>236</v>
      </c>
      <c r="L12" s="142"/>
      <c r="M12" s="142"/>
      <c r="N12" s="142"/>
      <c r="O12" s="142"/>
      <c r="P12" s="142"/>
    </row>
    <row r="13" spans="1:16" ht="12.75">
      <c r="A13" s="3" t="s">
        <v>101</v>
      </c>
      <c r="B13" s="3"/>
      <c r="C13" s="3"/>
      <c r="D13" s="3"/>
      <c r="E13" s="3"/>
      <c r="F13" s="89" t="s">
        <v>15</v>
      </c>
      <c r="G13" s="16" t="s">
        <v>237</v>
      </c>
      <c r="H13" s="16" t="s">
        <v>184</v>
      </c>
      <c r="I13" s="15"/>
      <c r="J13" s="109"/>
      <c r="L13" s="142"/>
      <c r="M13" s="142"/>
      <c r="N13" s="142"/>
      <c r="O13" s="142"/>
      <c r="P13" s="142"/>
    </row>
    <row r="14" spans="1:16" ht="12.75">
      <c r="A14" s="2">
        <v>0.035</v>
      </c>
      <c r="B14" s="42">
        <v>1</v>
      </c>
      <c r="C14" s="4">
        <f>A14*B17</f>
        <v>0.07840000000000001</v>
      </c>
      <c r="D14" s="29">
        <v>6</v>
      </c>
      <c r="E14" s="4">
        <f>(C14*D14)+(D14*B14*C24)+C21</f>
        <v>1.2864</v>
      </c>
      <c r="F14" s="29">
        <v>5</v>
      </c>
      <c r="G14" s="92">
        <f>F14*150/E14</f>
        <v>583.0223880597015</v>
      </c>
      <c r="H14" s="140">
        <f>G14/30</f>
        <v>19.43407960199005</v>
      </c>
      <c r="I14" s="92">
        <f>G14*D14*24</f>
        <v>83955.22388059701</v>
      </c>
      <c r="J14" s="94">
        <f>D14*24*30*H2/I14</f>
        <v>0.308736</v>
      </c>
      <c r="L14" s="142"/>
      <c r="M14" s="142"/>
      <c r="N14" s="142"/>
      <c r="O14" s="142"/>
      <c r="P14" s="142"/>
    </row>
    <row r="15" spans="1:16" ht="12.75">
      <c r="A15" s="2" t="s">
        <v>2</v>
      </c>
      <c r="B15" t="s">
        <v>49</v>
      </c>
      <c r="C15" s="5" t="s">
        <v>4</v>
      </c>
      <c r="D15" s="2" t="s">
        <v>6</v>
      </c>
      <c r="E15" s="5" t="s">
        <v>7</v>
      </c>
      <c r="F15" s="99" t="s">
        <v>50</v>
      </c>
      <c r="G15" s="100"/>
      <c r="H15" s="13"/>
      <c r="I15" s="14"/>
      <c r="J15" s="101"/>
      <c r="L15" s="142"/>
      <c r="M15" s="142"/>
      <c r="N15" s="142"/>
      <c r="O15" s="142"/>
      <c r="P15" s="142"/>
    </row>
    <row r="16" spans="2:16" ht="12.75">
      <c r="B16" t="s">
        <v>51</v>
      </c>
      <c r="C16" s="4"/>
      <c r="J16" s="8"/>
      <c r="L16" s="142"/>
      <c r="M16" s="142"/>
      <c r="N16" s="142"/>
      <c r="O16" s="142"/>
      <c r="P16" s="142"/>
    </row>
    <row r="17" spans="2:16" ht="12.75">
      <c r="B17" s="149">
        <f>2.24+(1.87*(B14-1))</f>
        <v>2.24</v>
      </c>
      <c r="C17" s="3" t="s">
        <v>90</v>
      </c>
      <c r="D17" s="43">
        <f>60/D14</f>
        <v>10</v>
      </c>
      <c r="E17" s="3" t="s">
        <v>91</v>
      </c>
      <c r="J17" s="8"/>
      <c r="L17" s="142"/>
      <c r="M17" s="142"/>
      <c r="N17" s="142"/>
      <c r="O17" s="142"/>
      <c r="P17" s="142"/>
    </row>
    <row r="18" spans="1:16" ht="12.75">
      <c r="A18"/>
      <c r="C18"/>
      <c r="D18" s="98">
        <f>3600/D14</f>
        <v>600</v>
      </c>
      <c r="E18" s="3" t="s">
        <v>238</v>
      </c>
      <c r="J18" s="8"/>
      <c r="L18" s="142"/>
      <c r="M18" s="142"/>
      <c r="N18" s="142"/>
      <c r="O18" s="142"/>
      <c r="P18" s="142"/>
    </row>
    <row r="19" spans="1:16" ht="12.75">
      <c r="A19"/>
      <c r="C19"/>
      <c r="D19" s="141" t="s">
        <v>239</v>
      </c>
      <c r="J19" s="8"/>
      <c r="L19" s="142"/>
      <c r="M19" s="142"/>
      <c r="N19" s="142"/>
      <c r="O19" s="142"/>
      <c r="P19" s="142"/>
    </row>
    <row r="20" spans="1:16" ht="12.75">
      <c r="A20" s="1" t="s">
        <v>0</v>
      </c>
      <c r="B20"/>
      <c r="C20" s="1"/>
      <c r="D20" s="1"/>
      <c r="F20" s="85" t="s">
        <v>193</v>
      </c>
      <c r="G20" s="45"/>
      <c r="H20" s="45"/>
      <c r="I20" s="87"/>
      <c r="J20" s="144" t="s">
        <v>181</v>
      </c>
      <c r="M20" s="142"/>
      <c r="N20" s="142"/>
      <c r="O20" s="142"/>
      <c r="P20" s="142"/>
    </row>
    <row r="21" spans="1:16" ht="12.75">
      <c r="A21" s="2">
        <v>1E-05</v>
      </c>
      <c r="B21" s="2">
        <v>3600</v>
      </c>
      <c r="C21" s="2">
        <f>A21*B21</f>
        <v>0.036000000000000004</v>
      </c>
      <c r="F21" s="46" t="s">
        <v>22</v>
      </c>
      <c r="G21" s="5">
        <v>5</v>
      </c>
      <c r="H21" s="5"/>
      <c r="I21" s="154"/>
      <c r="J21" s="147" t="s">
        <v>241</v>
      </c>
      <c r="L21" s="142">
        <v>0</v>
      </c>
      <c r="M21" s="142"/>
      <c r="N21" s="142"/>
      <c r="O21" s="142"/>
      <c r="P21" s="142"/>
    </row>
    <row r="22" spans="1:16" ht="12.75">
      <c r="A22" s="5" t="s">
        <v>2</v>
      </c>
      <c r="B22" s="5" t="s">
        <v>5</v>
      </c>
      <c r="C22" s="5" t="s">
        <v>4</v>
      </c>
      <c r="F22" s="46" t="s">
        <v>53</v>
      </c>
      <c r="G22" s="42">
        <v>4</v>
      </c>
      <c r="H22" s="47" t="s">
        <v>240</v>
      </c>
      <c r="I22" s="52" t="s">
        <v>29</v>
      </c>
      <c r="J22" s="145">
        <f>D6*24*30*H2/I24</f>
        <v>0.11390625</v>
      </c>
      <c r="L22" s="142">
        <v>4</v>
      </c>
      <c r="M22" s="142"/>
      <c r="N22" s="142"/>
      <c r="O22" s="142"/>
      <c r="P22" s="142"/>
    </row>
    <row r="23" spans="1:16" ht="12.75">
      <c r="A23" s="3" t="s">
        <v>60</v>
      </c>
      <c r="B23" s="3"/>
      <c r="C23" s="4"/>
      <c r="F23" s="46" t="s">
        <v>54</v>
      </c>
      <c r="G23" s="153">
        <v>0</v>
      </c>
      <c r="H23" s="5"/>
      <c r="I23" s="52" t="s">
        <v>30</v>
      </c>
      <c r="J23" s="147" t="s">
        <v>242</v>
      </c>
      <c r="L23" s="142"/>
      <c r="M23" s="142"/>
      <c r="N23" s="142"/>
      <c r="O23" s="142"/>
      <c r="P23" s="142"/>
    </row>
    <row r="24" spans="1:16" ht="12.75">
      <c r="A24" s="2">
        <v>0.26</v>
      </c>
      <c r="B24" s="49">
        <v>0.5</v>
      </c>
      <c r="C24" s="4">
        <f>A24*B24</f>
        <v>0.13</v>
      </c>
      <c r="F24" s="24" t="s">
        <v>55</v>
      </c>
      <c r="G24" s="48">
        <f>G21+G22+G23</f>
        <v>9</v>
      </c>
      <c r="H24" s="48"/>
      <c r="I24" s="148">
        <f>2048000/G24</f>
        <v>227555.55555555556</v>
      </c>
      <c r="J24" s="146">
        <f>D14*24*30*H2/I24</f>
        <v>0.11390625</v>
      </c>
      <c r="L24" s="142"/>
      <c r="M24" s="142"/>
      <c r="N24" s="142"/>
      <c r="O24" s="142"/>
      <c r="P24" s="142"/>
    </row>
    <row r="25" spans="1:16" ht="12.75">
      <c r="A25" s="2" t="s">
        <v>2</v>
      </c>
      <c r="B25" s="2" t="s">
        <v>3</v>
      </c>
      <c r="C25" s="5" t="s">
        <v>21</v>
      </c>
      <c r="F25" s="5"/>
      <c r="G25" s="5"/>
      <c r="H25" s="5"/>
      <c r="I25" s="5"/>
      <c r="J25" s="16"/>
      <c r="L25" s="142"/>
      <c r="M25" s="142"/>
      <c r="N25" s="142"/>
      <c r="O25" s="142"/>
      <c r="P25" s="142"/>
    </row>
    <row r="26" spans="2:16" ht="12.75">
      <c r="B26" s="1"/>
      <c r="D26" s="25"/>
      <c r="F26" s="5"/>
      <c r="G26" s="16"/>
      <c r="H26" s="16"/>
      <c r="I26" s="15"/>
      <c r="J26" s="16"/>
      <c r="L26" s="142"/>
      <c r="M26" s="142"/>
      <c r="N26" s="142"/>
      <c r="O26" s="142"/>
      <c r="P26" s="142"/>
    </row>
    <row r="27" spans="1:16" ht="12.75">
      <c r="A27" s="1" t="s">
        <v>247</v>
      </c>
      <c r="L27" s="142"/>
      <c r="M27" s="142"/>
      <c r="N27" s="142"/>
      <c r="O27" s="142"/>
      <c r="P27" s="142"/>
    </row>
    <row r="28" spans="1:16" ht="12.75">
      <c r="A28" s="3"/>
      <c r="L28" s="142"/>
      <c r="M28" s="142"/>
      <c r="N28" s="142"/>
      <c r="O28" s="142"/>
      <c r="P28" s="142"/>
    </row>
    <row r="29" spans="1:16" ht="12.75">
      <c r="A29" s="26" t="s">
        <v>38</v>
      </c>
      <c r="C29" s="25"/>
      <c r="L29" s="142"/>
      <c r="M29" s="142"/>
      <c r="N29" s="142"/>
      <c r="O29" s="142"/>
      <c r="P29" s="142"/>
    </row>
    <row r="30" spans="1:16" s="25" customFormat="1" ht="12.75">
      <c r="A30" s="37" t="s">
        <v>56</v>
      </c>
      <c r="B30" s="2"/>
      <c r="C30" s="2"/>
      <c r="D30" s="2"/>
      <c r="G30" s="27"/>
      <c r="H30" s="27"/>
      <c r="I30" s="28"/>
      <c r="J30" s="27"/>
      <c r="L30" s="64"/>
      <c r="M30" s="64"/>
      <c r="N30" s="64"/>
      <c r="O30" s="64"/>
      <c r="P30" s="64"/>
    </row>
    <row r="31" spans="1:16" ht="12.75">
      <c r="A31" s="26" t="s">
        <v>39</v>
      </c>
      <c r="B31" s="3"/>
      <c r="L31" s="142"/>
      <c r="M31" s="142"/>
      <c r="N31" s="142"/>
      <c r="O31" s="142"/>
      <c r="P31" s="142"/>
    </row>
    <row r="32" spans="1:2" ht="12.75">
      <c r="A32" s="26"/>
      <c r="B32" s="25"/>
    </row>
    <row r="33" spans="1:2" ht="12.75">
      <c r="A33" s="25"/>
      <c r="B33" s="3"/>
    </row>
    <row r="34" ht="12.75">
      <c r="B34" s="3"/>
    </row>
    <row r="35" ht="12.75">
      <c r="B35" s="3"/>
    </row>
  </sheetData>
  <sheetProtection sheet="1" objects="1" scenarios="1" selectLockedCells="1"/>
  <dataValidations count="1">
    <dataValidation type="list" allowBlank="1" showInputMessage="1" showErrorMessage="1" sqref="G22">
      <formula1>$L$21:$L$22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</sheetPr>
  <dimension ref="A1:P35"/>
  <sheetViews>
    <sheetView workbookViewId="0" topLeftCell="A1">
      <selection activeCell="B6" sqref="B6"/>
    </sheetView>
  </sheetViews>
  <sheetFormatPr defaultColWidth="9.140625" defaultRowHeight="12.75"/>
  <cols>
    <col min="1" max="1" width="15.57421875" style="2" customWidth="1"/>
    <col min="2" max="2" width="20.28125" style="2" customWidth="1"/>
    <col min="3" max="3" width="20.7109375" style="2" customWidth="1"/>
    <col min="4" max="4" width="14.7109375" style="2" customWidth="1"/>
    <col min="5" max="5" width="19.7109375" style="2" customWidth="1"/>
    <col min="6" max="6" width="12.8515625" style="2" customWidth="1"/>
    <col min="7" max="7" width="8.140625" style="7" customWidth="1"/>
    <col min="8" max="8" width="7.28125" style="7" customWidth="1"/>
    <col min="9" max="9" width="10.4218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246</v>
      </c>
      <c r="C1" s="65" t="s">
        <v>93</v>
      </c>
      <c r="D1" s="41"/>
      <c r="H1" s="2"/>
      <c r="I1" s="2"/>
      <c r="J1" s="2"/>
    </row>
    <row r="2" spans="1:10" ht="12.75">
      <c r="A2" s="3" t="s">
        <v>34</v>
      </c>
      <c r="B2" s="5"/>
      <c r="C2" s="78" t="s">
        <v>139</v>
      </c>
      <c r="F2" s="51"/>
      <c r="G2" s="51" t="s">
        <v>176</v>
      </c>
      <c r="H2" s="83">
        <v>6</v>
      </c>
      <c r="I2" s="84" t="s">
        <v>177</v>
      </c>
      <c r="J2" s="82"/>
    </row>
    <row r="3" spans="6:10" ht="12.75">
      <c r="F3" s="5"/>
      <c r="G3" s="16"/>
      <c r="H3" s="16"/>
      <c r="I3" s="15"/>
      <c r="J3" s="16"/>
    </row>
    <row r="4" spans="1:10" ht="12.75">
      <c r="A4" s="40" t="s">
        <v>48</v>
      </c>
      <c r="B4" s="41"/>
      <c r="D4" s="6"/>
      <c r="F4" s="85" t="s">
        <v>179</v>
      </c>
      <c r="G4" s="86" t="s">
        <v>235</v>
      </c>
      <c r="H4" s="87"/>
      <c r="I4" s="87" t="s">
        <v>20</v>
      </c>
      <c r="J4" s="88" t="s">
        <v>236</v>
      </c>
    </row>
    <row r="5" spans="1:10" s="3" customFormat="1" ht="12.75">
      <c r="A5" s="3" t="s">
        <v>102</v>
      </c>
      <c r="F5" s="89" t="s">
        <v>15</v>
      </c>
      <c r="G5" s="16" t="s">
        <v>237</v>
      </c>
      <c r="H5" s="16" t="s">
        <v>184</v>
      </c>
      <c r="I5" s="15"/>
      <c r="J5" s="109"/>
    </row>
    <row r="6" spans="1:10" ht="12.75">
      <c r="A6" s="2">
        <v>0.02</v>
      </c>
      <c r="B6" s="42">
        <v>1</v>
      </c>
      <c r="C6" s="4">
        <f>A6*B9</f>
        <v>0.0666</v>
      </c>
      <c r="D6" s="29">
        <v>6</v>
      </c>
      <c r="E6" s="4">
        <f>(C6*D6)+(D6*B6*C24)+C21</f>
        <v>1.2156000000000002</v>
      </c>
      <c r="F6" s="29">
        <v>5</v>
      </c>
      <c r="G6" s="92">
        <f>F6*150/E6</f>
        <v>616.9792694965448</v>
      </c>
      <c r="H6" s="140">
        <f>G6/30</f>
        <v>20.565975649884827</v>
      </c>
      <c r="I6" s="92">
        <f>G6*D6*24</f>
        <v>88845.01480750245</v>
      </c>
      <c r="J6" s="94">
        <f>D6*24*30*H2/I6</f>
        <v>0.29174400000000006</v>
      </c>
    </row>
    <row r="7" spans="1:10" ht="12.75">
      <c r="A7" s="2" t="s">
        <v>2</v>
      </c>
      <c r="B7" t="s">
        <v>49</v>
      </c>
      <c r="C7" s="5" t="s">
        <v>4</v>
      </c>
      <c r="D7" s="2" t="s">
        <v>6</v>
      </c>
      <c r="E7" s="5" t="s">
        <v>7</v>
      </c>
      <c r="F7" s="99" t="s">
        <v>50</v>
      </c>
      <c r="G7" s="100"/>
      <c r="H7" s="13"/>
      <c r="I7" s="14"/>
      <c r="J7" s="101"/>
    </row>
    <row r="8" spans="2:10" ht="12.75">
      <c r="B8" t="s">
        <v>51</v>
      </c>
      <c r="C8" s="4"/>
      <c r="G8" s="17"/>
      <c r="J8" s="102"/>
    </row>
    <row r="9" spans="2:10" ht="12.75">
      <c r="B9" s="98">
        <f>3.33+(2.27*(B6-1))</f>
        <v>3.33</v>
      </c>
      <c r="C9" s="3" t="s">
        <v>90</v>
      </c>
      <c r="D9" s="43">
        <f>60/D6</f>
        <v>10</v>
      </c>
      <c r="E9" s="3" t="s">
        <v>91</v>
      </c>
      <c r="J9" s="8"/>
    </row>
    <row r="10" spans="1:16" s="3" customFormat="1" ht="12.75">
      <c r="A10"/>
      <c r="B10" s="2"/>
      <c r="D10" s="98">
        <f>3600/D6</f>
        <v>600</v>
      </c>
      <c r="E10" s="3" t="s">
        <v>238</v>
      </c>
      <c r="J10" s="6"/>
      <c r="L10" s="112"/>
      <c r="M10" s="112"/>
      <c r="N10" s="112"/>
      <c r="O10" s="112"/>
      <c r="P10" s="112"/>
    </row>
    <row r="11" spans="1:16" s="3" customFormat="1" ht="12.75">
      <c r="A11"/>
      <c r="B11" s="2"/>
      <c r="D11" s="141" t="s">
        <v>239</v>
      </c>
      <c r="J11" s="6"/>
      <c r="L11" s="112"/>
      <c r="M11" s="112"/>
      <c r="N11" s="112"/>
      <c r="O11" s="112"/>
      <c r="P11" s="112"/>
    </row>
    <row r="12" spans="1:16" ht="12.75">
      <c r="A12" s="40" t="s">
        <v>52</v>
      </c>
      <c r="F12" s="85" t="s">
        <v>179</v>
      </c>
      <c r="G12" s="86" t="s">
        <v>235</v>
      </c>
      <c r="H12" s="87"/>
      <c r="I12" s="87" t="s">
        <v>20</v>
      </c>
      <c r="J12" s="88" t="s">
        <v>236</v>
      </c>
      <c r="L12" s="142"/>
      <c r="M12" s="142"/>
      <c r="N12" s="142"/>
      <c r="O12" s="142"/>
      <c r="P12" s="142"/>
    </row>
    <row r="13" spans="1:16" ht="12.75">
      <c r="A13" s="3" t="s">
        <v>103</v>
      </c>
      <c r="B13" s="3"/>
      <c r="C13" s="3"/>
      <c r="D13" s="3"/>
      <c r="E13" s="3"/>
      <c r="F13" s="89" t="s">
        <v>15</v>
      </c>
      <c r="G13" s="16" t="s">
        <v>237</v>
      </c>
      <c r="H13" s="16" t="s">
        <v>184</v>
      </c>
      <c r="I13" s="15"/>
      <c r="J13" s="109"/>
      <c r="L13" s="142"/>
      <c r="M13" s="142"/>
      <c r="N13" s="142"/>
      <c r="O13" s="142"/>
      <c r="P13" s="142"/>
    </row>
    <row r="14" spans="1:16" ht="12.75">
      <c r="A14" s="2">
        <v>0.039</v>
      </c>
      <c r="B14" s="42">
        <v>1</v>
      </c>
      <c r="C14" s="4">
        <f>A14*B17</f>
        <v>0.10686000000000001</v>
      </c>
      <c r="D14" s="29">
        <v>6</v>
      </c>
      <c r="E14" s="4">
        <f>(C14*D14)+(D14*B14*C24)+C21</f>
        <v>1.45716</v>
      </c>
      <c r="F14" s="29">
        <v>5</v>
      </c>
      <c r="G14" s="92">
        <f>F14*150/E14</f>
        <v>514.6998270608581</v>
      </c>
      <c r="H14" s="140">
        <f>G14/30</f>
        <v>17.1566609020286</v>
      </c>
      <c r="I14" s="92">
        <f>G14*D14*24</f>
        <v>74116.77509676357</v>
      </c>
      <c r="J14" s="94">
        <f>D14*24*30*H2/I14</f>
        <v>0.3497184</v>
      </c>
      <c r="L14" s="142"/>
      <c r="M14" s="142"/>
      <c r="N14" s="142"/>
      <c r="O14" s="142"/>
      <c r="P14" s="142"/>
    </row>
    <row r="15" spans="1:16" ht="12.75">
      <c r="A15" s="2" t="s">
        <v>2</v>
      </c>
      <c r="B15" t="s">
        <v>49</v>
      </c>
      <c r="C15" s="5" t="s">
        <v>4</v>
      </c>
      <c r="D15" s="2" t="s">
        <v>6</v>
      </c>
      <c r="E15" s="5" t="s">
        <v>7</v>
      </c>
      <c r="F15" s="99" t="s">
        <v>50</v>
      </c>
      <c r="G15" s="100"/>
      <c r="H15" s="13"/>
      <c r="I15" s="14"/>
      <c r="J15" s="101"/>
      <c r="L15" s="142"/>
      <c r="M15" s="142"/>
      <c r="N15" s="142"/>
      <c r="O15" s="142"/>
      <c r="P15" s="142"/>
    </row>
    <row r="16" spans="2:16" ht="12.75">
      <c r="B16" t="s">
        <v>51</v>
      </c>
      <c r="C16" s="4"/>
      <c r="J16" s="8"/>
      <c r="L16" s="142"/>
      <c r="M16" s="142"/>
      <c r="N16" s="142"/>
      <c r="O16" s="142"/>
      <c r="P16" s="142"/>
    </row>
    <row r="17" spans="2:16" ht="12.75">
      <c r="B17" s="149">
        <f>2.74+(2.27*(B14-1))</f>
        <v>2.74</v>
      </c>
      <c r="C17" s="3" t="s">
        <v>90</v>
      </c>
      <c r="D17" s="43">
        <f>60/D14</f>
        <v>10</v>
      </c>
      <c r="E17" s="3" t="s">
        <v>91</v>
      </c>
      <c r="J17" s="8"/>
      <c r="L17" s="142"/>
      <c r="M17" s="142"/>
      <c r="N17" s="142"/>
      <c r="O17" s="142"/>
      <c r="P17" s="142"/>
    </row>
    <row r="18" spans="1:16" ht="12.75">
      <c r="A18"/>
      <c r="C18"/>
      <c r="D18" s="98">
        <f>3600/D14</f>
        <v>600</v>
      </c>
      <c r="E18" s="3" t="s">
        <v>238</v>
      </c>
      <c r="J18" s="8"/>
      <c r="L18" s="142"/>
      <c r="M18" s="142"/>
      <c r="N18" s="142"/>
      <c r="O18" s="142"/>
      <c r="P18" s="142"/>
    </row>
    <row r="19" spans="1:16" ht="12.75">
      <c r="A19"/>
      <c r="C19"/>
      <c r="D19" s="141" t="s">
        <v>239</v>
      </c>
      <c r="J19" s="8"/>
      <c r="L19" s="142"/>
      <c r="M19" s="142"/>
      <c r="N19" s="142"/>
      <c r="O19" s="142"/>
      <c r="P19" s="142"/>
    </row>
    <row r="20" spans="1:16" ht="12.75">
      <c r="A20" s="1" t="s">
        <v>0</v>
      </c>
      <c r="B20"/>
      <c r="C20" s="1"/>
      <c r="D20" s="1"/>
      <c r="F20" s="85" t="s">
        <v>193</v>
      </c>
      <c r="G20" s="45"/>
      <c r="H20" s="45"/>
      <c r="I20" s="87"/>
      <c r="J20" s="144" t="s">
        <v>181</v>
      </c>
      <c r="M20" s="142"/>
      <c r="N20" s="142"/>
      <c r="O20" s="142"/>
      <c r="P20" s="142"/>
    </row>
    <row r="21" spans="1:16" ht="12.75">
      <c r="A21" s="2">
        <v>1E-05</v>
      </c>
      <c r="B21" s="2">
        <v>3600</v>
      </c>
      <c r="C21" s="2">
        <f>A21*B21</f>
        <v>0.036000000000000004</v>
      </c>
      <c r="F21" s="46" t="s">
        <v>22</v>
      </c>
      <c r="G21" s="5">
        <v>5</v>
      </c>
      <c r="H21" s="5"/>
      <c r="I21" s="154"/>
      <c r="J21" s="147" t="s">
        <v>241</v>
      </c>
      <c r="L21" s="142">
        <v>0</v>
      </c>
      <c r="M21" s="142"/>
      <c r="N21" s="142"/>
      <c r="O21" s="142"/>
      <c r="P21" s="142"/>
    </row>
    <row r="22" spans="1:16" ht="12.75">
      <c r="A22" s="5" t="s">
        <v>2</v>
      </c>
      <c r="B22" s="5" t="s">
        <v>5</v>
      </c>
      <c r="C22" s="5" t="s">
        <v>4</v>
      </c>
      <c r="F22" s="46" t="s">
        <v>53</v>
      </c>
      <c r="G22" s="42">
        <v>4</v>
      </c>
      <c r="H22" s="47" t="s">
        <v>240</v>
      </c>
      <c r="I22" s="52" t="s">
        <v>29</v>
      </c>
      <c r="J22" s="145">
        <f>D6*24*30*H2/I24</f>
        <v>0.13921875</v>
      </c>
      <c r="L22" s="142">
        <v>4</v>
      </c>
      <c r="M22" s="142"/>
      <c r="N22" s="142"/>
      <c r="O22" s="142"/>
      <c r="P22" s="142"/>
    </row>
    <row r="23" spans="1:16" ht="12.75">
      <c r="A23" s="3" t="s">
        <v>60</v>
      </c>
      <c r="B23" s="3"/>
      <c r="C23" s="4"/>
      <c r="F23" s="46" t="s">
        <v>54</v>
      </c>
      <c r="G23" s="153">
        <v>2</v>
      </c>
      <c r="H23" s="5"/>
      <c r="I23" s="52" t="s">
        <v>30</v>
      </c>
      <c r="J23" s="147" t="s">
        <v>242</v>
      </c>
      <c r="L23" s="142"/>
      <c r="M23" s="142"/>
      <c r="N23" s="142"/>
      <c r="O23" s="142"/>
      <c r="P23" s="142"/>
    </row>
    <row r="24" spans="1:16" ht="12.75">
      <c r="A24" s="2">
        <v>0.26</v>
      </c>
      <c r="B24" s="49">
        <v>0.5</v>
      </c>
      <c r="C24" s="4">
        <f>A24*B24</f>
        <v>0.13</v>
      </c>
      <c r="F24" s="24" t="s">
        <v>55</v>
      </c>
      <c r="G24" s="48">
        <f>G21+G22+G23</f>
        <v>11</v>
      </c>
      <c r="H24" s="48"/>
      <c r="I24" s="148">
        <f>2048000/G24</f>
        <v>186181.81818181818</v>
      </c>
      <c r="J24" s="146">
        <f>D14*24*30*H2/I24</f>
        <v>0.13921875</v>
      </c>
      <c r="L24" s="142"/>
      <c r="M24" s="142"/>
      <c r="N24" s="142"/>
      <c r="O24" s="142"/>
      <c r="P24" s="142"/>
    </row>
    <row r="25" spans="1:16" ht="12.75">
      <c r="A25" s="2" t="s">
        <v>2</v>
      </c>
      <c r="B25" s="2" t="s">
        <v>3</v>
      </c>
      <c r="C25" s="5" t="s">
        <v>21</v>
      </c>
      <c r="F25" s="5"/>
      <c r="G25" s="5"/>
      <c r="H25" s="5"/>
      <c r="I25" s="5"/>
      <c r="J25" s="16"/>
      <c r="L25" s="142"/>
      <c r="M25" s="142"/>
      <c r="N25" s="142"/>
      <c r="O25" s="142"/>
      <c r="P25" s="142"/>
    </row>
    <row r="26" spans="2:16" ht="12.75">
      <c r="B26" s="1"/>
      <c r="D26" s="25"/>
      <c r="F26" s="5"/>
      <c r="G26" s="16"/>
      <c r="H26" s="16"/>
      <c r="I26" s="15"/>
      <c r="J26" s="16"/>
      <c r="L26" s="142"/>
      <c r="M26" s="142"/>
      <c r="N26" s="142"/>
      <c r="O26" s="142"/>
      <c r="P26" s="142"/>
    </row>
    <row r="27" spans="1:16" ht="12.75">
      <c r="A27" s="1" t="s">
        <v>247</v>
      </c>
      <c r="L27" s="142"/>
      <c r="M27" s="142"/>
      <c r="N27" s="142"/>
      <c r="O27" s="142"/>
      <c r="P27" s="142"/>
    </row>
    <row r="28" spans="1:16" ht="12.75">
      <c r="A28" s="3"/>
      <c r="L28" s="142"/>
      <c r="M28" s="142"/>
      <c r="N28" s="142"/>
      <c r="O28" s="142"/>
      <c r="P28" s="142"/>
    </row>
    <row r="29" spans="1:16" ht="12.75">
      <c r="A29" s="26" t="s">
        <v>38</v>
      </c>
      <c r="C29" s="25"/>
      <c r="L29" s="142"/>
      <c r="M29" s="142"/>
      <c r="N29" s="142"/>
      <c r="O29" s="142"/>
      <c r="P29" s="142"/>
    </row>
    <row r="30" spans="1:16" s="25" customFormat="1" ht="12.75">
      <c r="A30" s="37" t="s">
        <v>56</v>
      </c>
      <c r="B30" s="2"/>
      <c r="C30" s="2"/>
      <c r="D30" s="2"/>
      <c r="G30" s="27"/>
      <c r="H30" s="27"/>
      <c r="I30" s="28"/>
      <c r="J30" s="27"/>
      <c r="L30" s="64"/>
      <c r="M30" s="64"/>
      <c r="N30" s="64"/>
      <c r="O30" s="64"/>
      <c r="P30" s="64"/>
    </row>
    <row r="31" spans="1:16" ht="12.75">
      <c r="A31" s="26" t="s">
        <v>39</v>
      </c>
      <c r="B31" s="3"/>
      <c r="L31" s="142"/>
      <c r="M31" s="142"/>
      <c r="N31" s="142"/>
      <c r="O31" s="142"/>
      <c r="P31" s="142"/>
    </row>
    <row r="32" spans="1:2" ht="12.75">
      <c r="A32" s="26"/>
      <c r="B32" s="25"/>
    </row>
    <row r="33" spans="1:2" ht="12.75">
      <c r="A33" s="25"/>
      <c r="B33" s="3"/>
    </row>
    <row r="34" ht="12.75">
      <c r="B34" s="3"/>
    </row>
    <row r="35" ht="12.75">
      <c r="B35" s="3"/>
    </row>
  </sheetData>
  <sheetProtection sheet="1" objects="1" scenarios="1" selectLockedCells="1"/>
  <dataValidations count="1">
    <dataValidation type="list" allowBlank="1" showInputMessage="1" showErrorMessage="1" sqref="G22">
      <formula1>$L$21:$L$22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</sheetPr>
  <dimension ref="A1:P35"/>
  <sheetViews>
    <sheetView workbookViewId="0" topLeftCell="A1">
      <selection activeCell="C2" sqref="C2"/>
    </sheetView>
  </sheetViews>
  <sheetFormatPr defaultColWidth="9.140625" defaultRowHeight="12.75"/>
  <cols>
    <col min="1" max="1" width="15.57421875" style="2" customWidth="1"/>
    <col min="2" max="2" width="20.28125" style="2" customWidth="1"/>
    <col min="3" max="3" width="20.7109375" style="2" customWidth="1"/>
    <col min="4" max="4" width="14.7109375" style="2" customWidth="1"/>
    <col min="5" max="5" width="19.7109375" style="2" customWidth="1"/>
    <col min="6" max="6" width="12.8515625" style="2" customWidth="1"/>
    <col min="7" max="7" width="8.140625" style="7" customWidth="1"/>
    <col min="8" max="8" width="7.28125" style="7" customWidth="1"/>
    <col min="9" max="9" width="10.4218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246</v>
      </c>
      <c r="C1" s="65" t="s">
        <v>96</v>
      </c>
      <c r="D1" s="41"/>
      <c r="H1" s="2"/>
      <c r="I1" s="2"/>
      <c r="J1" s="2"/>
    </row>
    <row r="2" spans="1:10" ht="12.75">
      <c r="A2" s="3" t="s">
        <v>34</v>
      </c>
      <c r="B2" s="5"/>
      <c r="C2" s="78" t="s">
        <v>139</v>
      </c>
      <c r="F2" s="51"/>
      <c r="G2" s="51" t="s">
        <v>176</v>
      </c>
      <c r="H2" s="83">
        <v>6</v>
      </c>
      <c r="I2" s="84" t="s">
        <v>177</v>
      </c>
      <c r="J2" s="82"/>
    </row>
    <row r="3" spans="6:10" ht="12.75">
      <c r="F3" s="5"/>
      <c r="G3" s="16"/>
      <c r="H3" s="16"/>
      <c r="I3" s="15"/>
      <c r="J3" s="16"/>
    </row>
    <row r="4" spans="1:10" ht="12.75">
      <c r="A4" s="40" t="s">
        <v>48</v>
      </c>
      <c r="B4" s="41"/>
      <c r="D4" s="6"/>
      <c r="F4" s="85" t="s">
        <v>179</v>
      </c>
      <c r="G4" s="86" t="s">
        <v>235</v>
      </c>
      <c r="H4" s="87"/>
      <c r="I4" s="87" t="s">
        <v>20</v>
      </c>
      <c r="J4" s="88" t="s">
        <v>236</v>
      </c>
    </row>
    <row r="5" spans="1:10" s="3" customFormat="1" ht="12.75">
      <c r="A5" s="3" t="s">
        <v>102</v>
      </c>
      <c r="F5" s="89" t="s">
        <v>15</v>
      </c>
      <c r="G5" s="16" t="s">
        <v>237</v>
      </c>
      <c r="H5" s="16" t="s">
        <v>184</v>
      </c>
      <c r="I5" s="15"/>
      <c r="J5" s="109"/>
    </row>
    <row r="6" spans="1:10" ht="12.75">
      <c r="A6" s="2">
        <v>0.035</v>
      </c>
      <c r="B6" s="42">
        <v>1</v>
      </c>
      <c r="C6" s="4">
        <f>A6*B9</f>
        <v>0.11655000000000001</v>
      </c>
      <c r="D6" s="29">
        <v>6</v>
      </c>
      <c r="E6" s="4">
        <f>(C6*D6)+(D6*B6*C24)+C21</f>
        <v>1.5153</v>
      </c>
      <c r="F6" s="29">
        <v>5</v>
      </c>
      <c r="G6" s="92">
        <f>F6*150/E6</f>
        <v>494.9514947535141</v>
      </c>
      <c r="H6" s="140">
        <f>G6/30</f>
        <v>16.49838315845047</v>
      </c>
      <c r="I6" s="92">
        <f>G6*D6*24</f>
        <v>71273.01524450604</v>
      </c>
      <c r="J6" s="94">
        <f>D6*24*30*H2/I6</f>
        <v>0.363672</v>
      </c>
    </row>
    <row r="7" spans="1:10" ht="12.75">
      <c r="A7" s="2" t="s">
        <v>2</v>
      </c>
      <c r="B7" t="s">
        <v>49</v>
      </c>
      <c r="C7" s="5" t="s">
        <v>4</v>
      </c>
      <c r="D7" s="2" t="s">
        <v>6</v>
      </c>
      <c r="E7" s="5" t="s">
        <v>7</v>
      </c>
      <c r="F7" s="99" t="s">
        <v>50</v>
      </c>
      <c r="G7" s="100"/>
      <c r="H7" s="13"/>
      <c r="I7" s="14"/>
      <c r="J7" s="101"/>
    </row>
    <row r="8" spans="2:10" ht="12.75">
      <c r="B8" t="s">
        <v>51</v>
      </c>
      <c r="C8" s="4"/>
      <c r="G8" s="17"/>
      <c r="J8" s="102"/>
    </row>
    <row r="9" spans="2:10" ht="12.75">
      <c r="B9" s="98">
        <f>3.33+(2.27*(B6-1))</f>
        <v>3.33</v>
      </c>
      <c r="C9" s="3" t="s">
        <v>90</v>
      </c>
      <c r="D9" s="43">
        <f>60/D6</f>
        <v>10</v>
      </c>
      <c r="E9" s="3" t="s">
        <v>91</v>
      </c>
      <c r="J9" s="8"/>
    </row>
    <row r="10" spans="1:16" s="3" customFormat="1" ht="12.75">
      <c r="A10"/>
      <c r="B10" s="2"/>
      <c r="D10" s="98">
        <f>3600/D6</f>
        <v>600</v>
      </c>
      <c r="E10" s="3" t="s">
        <v>238</v>
      </c>
      <c r="J10" s="6"/>
      <c r="L10" s="112"/>
      <c r="M10" s="112"/>
      <c r="N10" s="112"/>
      <c r="O10" s="112"/>
      <c r="P10" s="112"/>
    </row>
    <row r="11" spans="1:16" s="3" customFormat="1" ht="12.75">
      <c r="A11"/>
      <c r="B11" s="2"/>
      <c r="D11" s="141" t="s">
        <v>239</v>
      </c>
      <c r="J11" s="6"/>
      <c r="L11" s="112"/>
      <c r="M11" s="112"/>
      <c r="N11" s="112"/>
      <c r="O11" s="112"/>
      <c r="P11" s="112"/>
    </row>
    <row r="12" spans="1:16" ht="12.75">
      <c r="A12" s="40" t="s">
        <v>52</v>
      </c>
      <c r="F12" s="85" t="s">
        <v>179</v>
      </c>
      <c r="G12" s="86" t="s">
        <v>235</v>
      </c>
      <c r="H12" s="87"/>
      <c r="I12" s="87" t="s">
        <v>20</v>
      </c>
      <c r="J12" s="88" t="s">
        <v>236</v>
      </c>
      <c r="L12" s="142"/>
      <c r="M12" s="142"/>
      <c r="N12" s="142"/>
      <c r="O12" s="142"/>
      <c r="P12" s="142"/>
    </row>
    <row r="13" spans="1:16" ht="12.75">
      <c r="A13" s="3" t="s">
        <v>103</v>
      </c>
      <c r="B13" s="3"/>
      <c r="C13" s="3"/>
      <c r="D13" s="3"/>
      <c r="E13" s="3"/>
      <c r="F13" s="89" t="s">
        <v>15</v>
      </c>
      <c r="G13" s="16" t="s">
        <v>237</v>
      </c>
      <c r="H13" s="16" t="s">
        <v>184</v>
      </c>
      <c r="I13" s="15"/>
      <c r="J13" s="109"/>
      <c r="L13" s="142"/>
      <c r="M13" s="142"/>
      <c r="N13" s="142"/>
      <c r="O13" s="142"/>
      <c r="P13" s="142"/>
    </row>
    <row r="14" spans="1:16" ht="12.75">
      <c r="A14" s="2">
        <v>0.035</v>
      </c>
      <c r="B14" s="42">
        <v>1</v>
      </c>
      <c r="C14" s="4">
        <f>A14*B17</f>
        <v>0.09590000000000001</v>
      </c>
      <c r="D14" s="29">
        <v>6</v>
      </c>
      <c r="E14" s="4">
        <f>(C14*D14)+(D14*B14*C24)+C21</f>
        <v>1.3914000000000002</v>
      </c>
      <c r="F14" s="29">
        <v>5</v>
      </c>
      <c r="G14" s="92">
        <f>F14*150/E14</f>
        <v>539.0254420008623</v>
      </c>
      <c r="H14" s="140">
        <f>G14/30</f>
        <v>17.967514733362076</v>
      </c>
      <c r="I14" s="92">
        <f>G14*D14*24</f>
        <v>77619.66364812417</v>
      </c>
      <c r="J14" s="94">
        <f>D14*24*30*H2/I14</f>
        <v>0.33393600000000007</v>
      </c>
      <c r="L14" s="142"/>
      <c r="M14" s="142"/>
      <c r="N14" s="142"/>
      <c r="O14" s="142"/>
      <c r="P14" s="142"/>
    </row>
    <row r="15" spans="1:16" ht="12.75">
      <c r="A15" s="2" t="s">
        <v>2</v>
      </c>
      <c r="B15" t="s">
        <v>49</v>
      </c>
      <c r="C15" s="5" t="s">
        <v>4</v>
      </c>
      <c r="D15" s="2" t="s">
        <v>6</v>
      </c>
      <c r="E15" s="5" t="s">
        <v>7</v>
      </c>
      <c r="F15" s="99" t="s">
        <v>50</v>
      </c>
      <c r="G15" s="100"/>
      <c r="H15" s="13"/>
      <c r="I15" s="14"/>
      <c r="J15" s="101"/>
      <c r="L15" s="142"/>
      <c r="M15" s="142"/>
      <c r="N15" s="142"/>
      <c r="O15" s="142"/>
      <c r="P15" s="142"/>
    </row>
    <row r="16" spans="2:16" ht="12.75">
      <c r="B16" t="s">
        <v>51</v>
      </c>
      <c r="C16" s="4"/>
      <c r="J16" s="8"/>
      <c r="L16" s="142"/>
      <c r="M16" s="142"/>
      <c r="N16" s="142"/>
      <c r="O16" s="142"/>
      <c r="P16" s="142"/>
    </row>
    <row r="17" spans="2:16" ht="12.75">
      <c r="B17" s="149">
        <f>2.74+(2.27*(B14-1))</f>
        <v>2.74</v>
      </c>
      <c r="C17" s="3" t="s">
        <v>90</v>
      </c>
      <c r="D17" s="43">
        <f>60/D14</f>
        <v>10</v>
      </c>
      <c r="E17" s="3" t="s">
        <v>91</v>
      </c>
      <c r="J17" s="8"/>
      <c r="L17" s="142"/>
      <c r="M17" s="142"/>
      <c r="N17" s="142"/>
      <c r="O17" s="142"/>
      <c r="P17" s="142"/>
    </row>
    <row r="18" spans="1:16" ht="12.75">
      <c r="A18"/>
      <c r="C18"/>
      <c r="D18" s="98">
        <f>3600/D14</f>
        <v>600</v>
      </c>
      <c r="E18" s="3" t="s">
        <v>238</v>
      </c>
      <c r="J18" s="8"/>
      <c r="L18" s="142"/>
      <c r="M18" s="142"/>
      <c r="N18" s="142"/>
      <c r="O18" s="142"/>
      <c r="P18" s="142"/>
    </row>
    <row r="19" spans="1:16" ht="12.75">
      <c r="A19"/>
      <c r="C19"/>
      <c r="D19" s="141" t="s">
        <v>239</v>
      </c>
      <c r="J19" s="8"/>
      <c r="L19" s="142"/>
      <c r="M19" s="142"/>
      <c r="N19" s="142"/>
      <c r="O19" s="142"/>
      <c r="P19" s="142"/>
    </row>
    <row r="20" spans="1:16" ht="12.75">
      <c r="A20" s="1" t="s">
        <v>0</v>
      </c>
      <c r="B20"/>
      <c r="C20" s="1"/>
      <c r="D20" s="1"/>
      <c r="F20" s="85" t="s">
        <v>193</v>
      </c>
      <c r="G20" s="45"/>
      <c r="H20" s="45"/>
      <c r="I20" s="87"/>
      <c r="J20" s="144" t="s">
        <v>181</v>
      </c>
      <c r="M20" s="142"/>
      <c r="N20" s="142"/>
      <c r="O20" s="142"/>
      <c r="P20" s="142"/>
    </row>
    <row r="21" spans="1:16" ht="12.75">
      <c r="A21" s="2">
        <v>1E-05</v>
      </c>
      <c r="B21" s="2">
        <v>3600</v>
      </c>
      <c r="C21" s="2">
        <f>A21*B21</f>
        <v>0.036000000000000004</v>
      </c>
      <c r="F21" s="46" t="s">
        <v>22</v>
      </c>
      <c r="G21" s="5">
        <v>5</v>
      </c>
      <c r="H21" s="5"/>
      <c r="I21" s="154"/>
      <c r="J21" s="147" t="s">
        <v>241</v>
      </c>
      <c r="L21" s="142">
        <v>0</v>
      </c>
      <c r="M21" s="142"/>
      <c r="N21" s="142"/>
      <c r="O21" s="142"/>
      <c r="P21" s="142"/>
    </row>
    <row r="22" spans="1:16" ht="12.75">
      <c r="A22" s="5" t="s">
        <v>2</v>
      </c>
      <c r="B22" s="5" t="s">
        <v>5</v>
      </c>
      <c r="C22" s="5" t="s">
        <v>4</v>
      </c>
      <c r="F22" s="46" t="s">
        <v>53</v>
      </c>
      <c r="G22" s="42">
        <v>4</v>
      </c>
      <c r="H22" s="47" t="s">
        <v>240</v>
      </c>
      <c r="I22" s="52" t="s">
        <v>29</v>
      </c>
      <c r="J22" s="145">
        <f>D6*24*30*H2/I24</f>
        <v>0.13921875</v>
      </c>
      <c r="L22" s="142">
        <v>4</v>
      </c>
      <c r="M22" s="142"/>
      <c r="N22" s="142"/>
      <c r="O22" s="142"/>
      <c r="P22" s="142"/>
    </row>
    <row r="23" spans="1:16" ht="12.75">
      <c r="A23" s="3" t="s">
        <v>60</v>
      </c>
      <c r="B23" s="3"/>
      <c r="C23" s="4"/>
      <c r="F23" s="46" t="s">
        <v>54</v>
      </c>
      <c r="G23" s="153">
        <v>2</v>
      </c>
      <c r="H23" s="5"/>
      <c r="I23" s="52" t="s">
        <v>30</v>
      </c>
      <c r="J23" s="147" t="s">
        <v>242</v>
      </c>
      <c r="L23" s="142"/>
      <c r="M23" s="142"/>
      <c r="N23" s="142"/>
      <c r="O23" s="142"/>
      <c r="P23" s="142"/>
    </row>
    <row r="24" spans="1:16" ht="12.75">
      <c r="A24" s="2">
        <v>0.26</v>
      </c>
      <c r="B24" s="49">
        <v>0.5</v>
      </c>
      <c r="C24" s="4">
        <f>A24*B24</f>
        <v>0.13</v>
      </c>
      <c r="F24" s="24" t="s">
        <v>55</v>
      </c>
      <c r="G24" s="48">
        <f>G21+G22+G23</f>
        <v>11</v>
      </c>
      <c r="H24" s="48"/>
      <c r="I24" s="148">
        <f>2048000/G24</f>
        <v>186181.81818181818</v>
      </c>
      <c r="J24" s="146">
        <f>D14*24*30*H2/I24</f>
        <v>0.13921875</v>
      </c>
      <c r="L24" s="142"/>
      <c r="M24" s="142"/>
      <c r="N24" s="142"/>
      <c r="O24" s="142"/>
      <c r="P24" s="142"/>
    </row>
    <row r="25" spans="1:16" ht="12.75">
      <c r="A25" s="2" t="s">
        <v>2</v>
      </c>
      <c r="B25" s="2" t="s">
        <v>3</v>
      </c>
      <c r="C25" s="5" t="s">
        <v>21</v>
      </c>
      <c r="F25" s="5"/>
      <c r="G25" s="5"/>
      <c r="H25" s="5"/>
      <c r="I25" s="5"/>
      <c r="J25" s="16"/>
      <c r="L25" s="142"/>
      <c r="M25" s="142"/>
      <c r="N25" s="142"/>
      <c r="O25" s="142"/>
      <c r="P25" s="142"/>
    </row>
    <row r="26" spans="2:16" ht="12.75">
      <c r="B26" s="1"/>
      <c r="D26" s="25"/>
      <c r="F26" s="5"/>
      <c r="G26" s="16"/>
      <c r="H26" s="16"/>
      <c r="I26" s="15"/>
      <c r="J26" s="16"/>
      <c r="L26" s="142"/>
      <c r="M26" s="142"/>
      <c r="N26" s="142"/>
      <c r="O26" s="142"/>
      <c r="P26" s="142"/>
    </row>
    <row r="27" spans="1:16" ht="12.75">
      <c r="A27" s="1" t="s">
        <v>247</v>
      </c>
      <c r="L27" s="142"/>
      <c r="M27" s="142"/>
      <c r="N27" s="142"/>
      <c r="O27" s="142"/>
      <c r="P27" s="142"/>
    </row>
    <row r="28" spans="1:16" ht="12.75">
      <c r="A28" s="3"/>
      <c r="L28" s="142"/>
      <c r="M28" s="142"/>
      <c r="N28" s="142"/>
      <c r="O28" s="142"/>
      <c r="P28" s="142"/>
    </row>
    <row r="29" spans="1:16" ht="12.75">
      <c r="A29" s="26" t="s">
        <v>38</v>
      </c>
      <c r="C29" s="25"/>
      <c r="L29" s="142"/>
      <c r="M29" s="142"/>
      <c r="N29" s="142"/>
      <c r="O29" s="142"/>
      <c r="P29" s="142"/>
    </row>
    <row r="30" spans="1:16" s="25" customFormat="1" ht="12.75">
      <c r="A30" s="37" t="s">
        <v>56</v>
      </c>
      <c r="B30" s="2"/>
      <c r="C30" s="2"/>
      <c r="D30" s="2"/>
      <c r="G30" s="27"/>
      <c r="H30" s="27"/>
      <c r="I30" s="28"/>
      <c r="J30" s="27"/>
      <c r="L30" s="64"/>
      <c r="M30" s="64"/>
      <c r="N30" s="64"/>
      <c r="O30" s="64"/>
      <c r="P30" s="64"/>
    </row>
    <row r="31" spans="1:16" ht="12.75">
      <c r="A31" s="26" t="s">
        <v>39</v>
      </c>
      <c r="B31" s="3"/>
      <c r="L31" s="142"/>
      <c r="M31" s="142"/>
      <c r="N31" s="142"/>
      <c r="O31" s="142"/>
      <c r="P31" s="142"/>
    </row>
    <row r="32" spans="1:2" ht="12.75">
      <c r="A32" s="26"/>
      <c r="B32" s="25"/>
    </row>
    <row r="33" spans="1:2" ht="12.75">
      <c r="A33" s="25"/>
      <c r="B33" s="3"/>
    </row>
    <row r="34" ht="12.75">
      <c r="B34" s="3"/>
    </row>
    <row r="35" ht="12.75">
      <c r="B35" s="3"/>
    </row>
  </sheetData>
  <sheetProtection sheet="1" objects="1" scenarios="1" selectLockedCells="1"/>
  <dataValidations count="1">
    <dataValidation type="list" allowBlank="1" showInputMessage="1" showErrorMessage="1" sqref="G22">
      <formula1>$L$21:$L$22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2"/>
  </sheetPr>
  <dimension ref="A1:P36"/>
  <sheetViews>
    <sheetView workbookViewId="0" topLeftCell="A1">
      <selection activeCell="G23" sqref="G23"/>
    </sheetView>
  </sheetViews>
  <sheetFormatPr defaultColWidth="9.140625" defaultRowHeight="12.75"/>
  <cols>
    <col min="1" max="1" width="15.57421875" style="2" customWidth="1"/>
    <col min="2" max="2" width="21.00390625" style="2" customWidth="1"/>
    <col min="3" max="3" width="19.7109375" style="2" customWidth="1"/>
    <col min="4" max="4" width="14.7109375" style="2" customWidth="1"/>
    <col min="5" max="5" width="19.7109375" style="2" customWidth="1"/>
    <col min="6" max="6" width="12.8515625" style="2" customWidth="1"/>
    <col min="7" max="7" width="8.140625" style="7" customWidth="1"/>
    <col min="8" max="8" width="7.28125" style="7" customWidth="1"/>
    <col min="9" max="9" width="10.4218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248</v>
      </c>
      <c r="C1" s="35" t="s">
        <v>47</v>
      </c>
      <c r="D1" s="3" t="s">
        <v>34</v>
      </c>
      <c r="H1" s="2"/>
      <c r="I1" s="2"/>
      <c r="J1" s="2"/>
    </row>
    <row r="2" spans="2:3" ht="12.75">
      <c r="B2" s="5"/>
      <c r="C2" s="78" t="s">
        <v>139</v>
      </c>
    </row>
    <row r="3" spans="1:10" ht="12.75">
      <c r="A3" s="3"/>
      <c r="B3" s="5"/>
      <c r="C3" s="81"/>
      <c r="F3" s="117"/>
      <c r="G3" s="117"/>
      <c r="H3" s="150"/>
      <c r="I3" s="151"/>
      <c r="J3" s="152"/>
    </row>
    <row r="4" spans="1:10" ht="12.75">
      <c r="A4" s="3" t="s">
        <v>97</v>
      </c>
      <c r="B4" s="5"/>
      <c r="C4" s="5"/>
      <c r="F4" s="117"/>
      <c r="G4" s="117"/>
      <c r="H4" s="150"/>
      <c r="I4" s="151"/>
      <c r="J4" s="152"/>
    </row>
    <row r="5" spans="1:10" ht="12.75">
      <c r="A5" s="3"/>
      <c r="B5" s="42">
        <v>10</v>
      </c>
      <c r="C5" s="66">
        <f>0.005*0.5*B5</f>
        <v>0.025</v>
      </c>
      <c r="D5" s="29">
        <v>1</v>
      </c>
      <c r="F5" s="51"/>
      <c r="G5" s="51" t="s">
        <v>176</v>
      </c>
      <c r="H5" s="83">
        <v>12</v>
      </c>
      <c r="I5" s="84" t="s">
        <v>177</v>
      </c>
      <c r="J5" s="82"/>
    </row>
    <row r="6" spans="3:10" ht="12.75">
      <c r="C6" s="5" t="s">
        <v>4</v>
      </c>
      <c r="D6" s="2" t="s">
        <v>218</v>
      </c>
      <c r="F6" s="5"/>
      <c r="G6" s="16"/>
      <c r="H6" s="16"/>
      <c r="I6" s="15"/>
      <c r="J6" s="16"/>
    </row>
    <row r="7" spans="4:10" ht="12.75">
      <c r="D7" s="6"/>
      <c r="F7" s="85" t="s">
        <v>179</v>
      </c>
      <c r="G7" s="86" t="s">
        <v>235</v>
      </c>
      <c r="H7" s="87"/>
      <c r="I7" s="87" t="s">
        <v>20</v>
      </c>
      <c r="J7" s="88" t="s">
        <v>236</v>
      </c>
    </row>
    <row r="8" spans="1:10" s="3" customFormat="1" ht="12.75">
      <c r="A8" s="40" t="s">
        <v>48</v>
      </c>
      <c r="B8" s="41"/>
      <c r="F8" s="89" t="s">
        <v>15</v>
      </c>
      <c r="G8" s="16" t="s">
        <v>237</v>
      </c>
      <c r="H8" s="16" t="s">
        <v>184</v>
      </c>
      <c r="I8" s="15"/>
      <c r="J8" s="109"/>
    </row>
    <row r="9" spans="1:10" ht="12.75">
      <c r="A9" s="2">
        <v>0.035</v>
      </c>
      <c r="B9" s="49">
        <v>3.3</v>
      </c>
      <c r="C9" s="4">
        <f>A9*B9</f>
        <v>0.1155</v>
      </c>
      <c r="D9" s="29">
        <v>12</v>
      </c>
      <c r="E9" s="4">
        <f>(C9+C25)*D9+C22+(C5*D5)</f>
        <v>3.0789999999999997</v>
      </c>
      <c r="F9" s="29">
        <v>5</v>
      </c>
      <c r="G9" s="92">
        <f>F9*150/E9</f>
        <v>243.5855797336798</v>
      </c>
      <c r="H9" s="140">
        <f>G9/30</f>
        <v>8.119519324455993</v>
      </c>
      <c r="I9" s="92">
        <f>G9*D9*24</f>
        <v>70152.64696329978</v>
      </c>
      <c r="J9" s="94">
        <f>D9*24*30*H5/I9</f>
        <v>1.47792</v>
      </c>
    </row>
    <row r="10" spans="1:10" ht="12.75">
      <c r="A10" s="2" t="s">
        <v>2</v>
      </c>
      <c r="B10" s="44" t="s">
        <v>59</v>
      </c>
      <c r="C10" s="5" t="s">
        <v>4</v>
      </c>
      <c r="D10" s="2" t="s">
        <v>6</v>
      </c>
      <c r="E10" s="5" t="s">
        <v>7</v>
      </c>
      <c r="F10" s="99" t="s">
        <v>50</v>
      </c>
      <c r="G10" s="100"/>
      <c r="H10" s="13"/>
      <c r="I10" s="14"/>
      <c r="J10" s="101"/>
    </row>
    <row r="11" spans="2:10" ht="12.75">
      <c r="B11"/>
      <c r="C11" s="4"/>
      <c r="D11" s="43">
        <f>60/D9</f>
        <v>5</v>
      </c>
      <c r="E11" s="3" t="s">
        <v>91</v>
      </c>
      <c r="G11" s="17"/>
      <c r="J11" s="102"/>
    </row>
    <row r="12" spans="2:10" ht="12.75">
      <c r="B12" s="143"/>
      <c r="C12" s="3"/>
      <c r="D12" s="98">
        <f>3600/D9</f>
        <v>300</v>
      </c>
      <c r="E12" s="3" t="s">
        <v>238</v>
      </c>
      <c r="J12" s="8"/>
    </row>
    <row r="13" spans="1:16" s="3" customFormat="1" ht="12.75">
      <c r="A13"/>
      <c r="B13" s="2"/>
      <c r="D13" s="141" t="s">
        <v>239</v>
      </c>
      <c r="J13" s="6"/>
      <c r="L13" s="112"/>
      <c r="M13" s="112"/>
      <c r="N13" s="112"/>
      <c r="O13" s="112"/>
      <c r="P13" s="112"/>
    </row>
    <row r="14" spans="6:16" ht="12.75">
      <c r="F14" s="85" t="s">
        <v>179</v>
      </c>
      <c r="G14" s="86" t="s">
        <v>235</v>
      </c>
      <c r="H14" s="87"/>
      <c r="I14" s="87" t="s">
        <v>20</v>
      </c>
      <c r="J14" s="88" t="s">
        <v>236</v>
      </c>
      <c r="L14" s="142"/>
      <c r="M14" s="142"/>
      <c r="N14" s="142"/>
      <c r="O14" s="142"/>
      <c r="P14" s="142"/>
    </row>
    <row r="15" spans="1:16" ht="12.75">
      <c r="A15" s="40" t="s">
        <v>52</v>
      </c>
      <c r="B15" s="3"/>
      <c r="C15" s="3"/>
      <c r="D15" s="3"/>
      <c r="E15" s="3"/>
      <c r="F15" s="89" t="s">
        <v>15</v>
      </c>
      <c r="G15" s="16" t="s">
        <v>237</v>
      </c>
      <c r="H15" s="16" t="s">
        <v>184</v>
      </c>
      <c r="I15" s="15"/>
      <c r="J15" s="109"/>
      <c r="L15" s="142"/>
      <c r="M15" s="142"/>
      <c r="N15" s="142"/>
      <c r="O15" s="142"/>
      <c r="P15" s="142"/>
    </row>
    <row r="16" spans="1:16" ht="12.75">
      <c r="A16" s="2">
        <v>0.035</v>
      </c>
      <c r="B16" s="49">
        <v>2.2</v>
      </c>
      <c r="C16" s="4">
        <f>A16*B16</f>
        <v>0.07700000000000001</v>
      </c>
      <c r="D16" s="29">
        <v>1</v>
      </c>
      <c r="E16" s="4">
        <f>C16*D16+((D16+1)*C25)+C22+C5</f>
        <v>0.47000000000000003</v>
      </c>
      <c r="F16" s="29">
        <v>5</v>
      </c>
      <c r="G16" s="92">
        <f>F16*150/E16</f>
        <v>1595.7446808510638</v>
      </c>
      <c r="H16" s="140">
        <f>G16/30</f>
        <v>53.191489361702125</v>
      </c>
      <c r="I16" s="92">
        <f>G16*D16*24</f>
        <v>38297.87234042553</v>
      </c>
      <c r="J16" s="94">
        <f>D16*24*30*H5/I16</f>
        <v>0.22560000000000002</v>
      </c>
      <c r="L16" s="142"/>
      <c r="M16" s="142"/>
      <c r="N16" s="142"/>
      <c r="O16" s="142"/>
      <c r="P16" s="142"/>
    </row>
    <row r="17" spans="1:16" ht="12.75">
      <c r="A17" s="2" t="s">
        <v>2</v>
      </c>
      <c r="B17" s="44" t="s">
        <v>59</v>
      </c>
      <c r="C17" s="5" t="s">
        <v>4</v>
      </c>
      <c r="D17" s="2" t="s">
        <v>6</v>
      </c>
      <c r="E17" s="5" t="s">
        <v>7</v>
      </c>
      <c r="F17" s="99" t="s">
        <v>50</v>
      </c>
      <c r="G17" s="100"/>
      <c r="H17" s="13"/>
      <c r="I17" s="14"/>
      <c r="J17" s="101"/>
      <c r="L17" s="142"/>
      <c r="M17" s="142"/>
      <c r="N17" s="142"/>
      <c r="O17" s="142"/>
      <c r="P17" s="142"/>
    </row>
    <row r="18" spans="2:16" ht="12.75">
      <c r="B18"/>
      <c r="C18" s="4"/>
      <c r="D18" s="43">
        <f>60/D16</f>
        <v>60</v>
      </c>
      <c r="E18" s="3" t="s">
        <v>91</v>
      </c>
      <c r="J18" s="8"/>
      <c r="L18" s="142"/>
      <c r="M18" s="142"/>
      <c r="N18" s="142"/>
      <c r="O18" s="142"/>
      <c r="P18" s="142"/>
    </row>
    <row r="19" spans="2:16" ht="12.75">
      <c r="B19" s="36"/>
      <c r="C19" s="3"/>
      <c r="D19" s="98">
        <f>3600/D16</f>
        <v>3600</v>
      </c>
      <c r="E19" s="3" t="s">
        <v>238</v>
      </c>
      <c r="J19" s="8"/>
      <c r="L19" s="142"/>
      <c r="M19" s="142"/>
      <c r="N19" s="142"/>
      <c r="O19" s="142"/>
      <c r="P19" s="142"/>
    </row>
    <row r="20" spans="1:16" ht="12.75">
      <c r="A20"/>
      <c r="C20"/>
      <c r="D20" s="141" t="s">
        <v>239</v>
      </c>
      <c r="J20" s="8"/>
      <c r="L20" s="142"/>
      <c r="M20" s="142"/>
      <c r="N20" s="142"/>
      <c r="O20" s="142"/>
      <c r="P20" s="142"/>
    </row>
    <row r="21" spans="1:16" ht="12.75">
      <c r="A21" s="1" t="s">
        <v>0</v>
      </c>
      <c r="B21"/>
      <c r="C21" s="1"/>
      <c r="D21" s="1"/>
      <c r="F21" s="85" t="s">
        <v>193</v>
      </c>
      <c r="G21" s="45"/>
      <c r="H21" s="45"/>
      <c r="I21" s="87"/>
      <c r="J21" s="144" t="s">
        <v>181</v>
      </c>
      <c r="L21" s="142">
        <v>0</v>
      </c>
      <c r="M21" s="142"/>
      <c r="N21" s="142"/>
      <c r="O21" s="142"/>
      <c r="P21" s="142"/>
    </row>
    <row r="22" spans="1:16" ht="12.75">
      <c r="A22" s="2">
        <v>3E-05</v>
      </c>
      <c r="B22" s="2">
        <v>3600</v>
      </c>
      <c r="C22" s="2">
        <f>A22*B22</f>
        <v>0.108</v>
      </c>
      <c r="F22" s="46" t="s">
        <v>22</v>
      </c>
      <c r="G22" s="5">
        <v>5</v>
      </c>
      <c r="H22" s="5"/>
      <c r="I22" s="154"/>
      <c r="J22" s="147" t="s">
        <v>241</v>
      </c>
      <c r="L22" s="142">
        <v>4</v>
      </c>
      <c r="M22" s="142"/>
      <c r="N22" s="142"/>
      <c r="O22" s="142"/>
      <c r="P22" s="142"/>
    </row>
    <row r="23" spans="1:16" ht="12.75">
      <c r="A23" s="5" t="s">
        <v>2</v>
      </c>
      <c r="B23" s="5" t="s">
        <v>5</v>
      </c>
      <c r="C23" s="5" t="s">
        <v>4</v>
      </c>
      <c r="F23" s="46" t="s">
        <v>53</v>
      </c>
      <c r="G23" s="42">
        <v>4</v>
      </c>
      <c r="H23" s="47" t="s">
        <v>240</v>
      </c>
      <c r="I23" s="52" t="s">
        <v>29</v>
      </c>
      <c r="J23" s="145">
        <f>D9*24*30*H5/I25</f>
        <v>0.455625</v>
      </c>
      <c r="L23" s="142"/>
      <c r="M23" s="142"/>
      <c r="N23" s="142"/>
      <c r="O23" s="142"/>
      <c r="P23" s="142"/>
    </row>
    <row r="24" spans="1:16" ht="12.75">
      <c r="A24" s="3" t="s">
        <v>60</v>
      </c>
      <c r="B24" s="3"/>
      <c r="C24" s="4"/>
      <c r="F24" s="46" t="s">
        <v>54</v>
      </c>
      <c r="G24" s="153">
        <v>0</v>
      </c>
      <c r="H24" s="5"/>
      <c r="I24" s="52" t="s">
        <v>30</v>
      </c>
      <c r="J24" s="147" t="s">
        <v>242</v>
      </c>
      <c r="L24" s="142">
        <v>1024</v>
      </c>
      <c r="M24" s="142"/>
      <c r="N24" s="142"/>
      <c r="O24" s="142"/>
      <c r="P24" s="142"/>
    </row>
    <row r="25" spans="1:16" ht="12.75">
      <c r="A25" s="2">
        <v>0.26</v>
      </c>
      <c r="B25" s="49">
        <v>0.5</v>
      </c>
      <c r="C25" s="4">
        <f>A25*B25</f>
        <v>0.13</v>
      </c>
      <c r="F25" s="24" t="s">
        <v>55</v>
      </c>
      <c r="G25" s="48">
        <f>G22+G23+G24</f>
        <v>9</v>
      </c>
      <c r="H25" s="48"/>
      <c r="I25" s="148">
        <f>2048000/G25</f>
        <v>227555.55555555556</v>
      </c>
      <c r="J25" s="146">
        <f>D16*24*30*H5/I25</f>
        <v>0.037968749999999996</v>
      </c>
      <c r="L25" s="142">
        <v>2048</v>
      </c>
      <c r="M25" s="142"/>
      <c r="N25" s="142"/>
      <c r="O25" s="142"/>
      <c r="P25" s="142"/>
    </row>
    <row r="26" spans="1:16" ht="12.75">
      <c r="A26" s="2" t="s">
        <v>2</v>
      </c>
      <c r="B26" s="2" t="s">
        <v>3</v>
      </c>
      <c r="C26" s="5" t="s">
        <v>4</v>
      </c>
      <c r="F26" s="5"/>
      <c r="G26" s="5"/>
      <c r="H26" s="5"/>
      <c r="I26" s="5"/>
      <c r="J26" s="16"/>
      <c r="M26" s="142"/>
      <c r="N26" s="142"/>
      <c r="O26" s="142"/>
      <c r="P26" s="142"/>
    </row>
    <row r="27" spans="2:16" ht="12.75">
      <c r="B27" s="1"/>
      <c r="F27" s="5"/>
      <c r="G27" s="16"/>
      <c r="H27" s="16"/>
      <c r="I27" s="15"/>
      <c r="J27" s="16"/>
      <c r="L27" s="142"/>
      <c r="M27" s="142"/>
      <c r="N27" s="142"/>
      <c r="O27" s="142"/>
      <c r="P27" s="142"/>
    </row>
    <row r="28" spans="1:16" ht="12.75">
      <c r="A28" s="1" t="s">
        <v>245</v>
      </c>
      <c r="L28" s="142"/>
      <c r="M28" s="142"/>
      <c r="N28" s="142"/>
      <c r="O28" s="142"/>
      <c r="P28" s="142"/>
    </row>
    <row r="29" spans="1:16" ht="12.75">
      <c r="A29" s="3"/>
      <c r="L29" s="142"/>
      <c r="M29" s="142"/>
      <c r="N29" s="142"/>
      <c r="O29" s="142"/>
      <c r="P29" s="142"/>
    </row>
    <row r="30" spans="1:16" ht="12.75">
      <c r="A30" s="26" t="s">
        <v>38</v>
      </c>
      <c r="C30" s="25"/>
      <c r="D30" s="25"/>
      <c r="L30" s="142"/>
      <c r="M30" s="142"/>
      <c r="N30" s="142"/>
      <c r="O30" s="142"/>
      <c r="P30" s="142"/>
    </row>
    <row r="31" spans="1:16" s="25" customFormat="1" ht="12.75">
      <c r="A31" s="37" t="s">
        <v>56</v>
      </c>
      <c r="B31" s="2"/>
      <c r="C31" s="2"/>
      <c r="D31" s="2"/>
      <c r="G31" s="27"/>
      <c r="H31" s="27"/>
      <c r="I31" s="28"/>
      <c r="J31" s="27"/>
      <c r="L31" s="64"/>
      <c r="M31" s="64"/>
      <c r="N31" s="64"/>
      <c r="O31" s="64"/>
      <c r="P31" s="64"/>
    </row>
    <row r="32" spans="1:16" ht="12.75">
      <c r="A32" s="26" t="s">
        <v>39</v>
      </c>
      <c r="B32" s="3"/>
      <c r="L32" s="142"/>
      <c r="M32" s="142"/>
      <c r="N32" s="142"/>
      <c r="O32" s="142"/>
      <c r="P32" s="142"/>
    </row>
    <row r="33" spans="1:2" ht="12.75">
      <c r="A33" s="26"/>
      <c r="B33" s="25"/>
    </row>
    <row r="34" spans="1:2" ht="12.75">
      <c r="A34" s="25"/>
      <c r="B34" s="3"/>
    </row>
    <row r="35" ht="12.75">
      <c r="B35" s="3"/>
    </row>
    <row r="36" ht="12.75">
      <c r="B36" s="3"/>
    </row>
  </sheetData>
  <sheetProtection sheet="1" objects="1" scenarios="1" selectLockedCells="1"/>
  <dataValidations count="1">
    <dataValidation type="list" allowBlank="1" showInputMessage="1" showErrorMessage="1" sqref="G23">
      <formula1>$L$21:$L$22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J31"/>
  <sheetViews>
    <sheetView workbookViewId="0" topLeftCell="A1">
      <selection activeCell="B15" sqref="B15"/>
    </sheetView>
  </sheetViews>
  <sheetFormatPr defaultColWidth="9.140625" defaultRowHeight="12.75"/>
  <cols>
    <col min="1" max="1" width="15.57421875" style="2" customWidth="1"/>
    <col min="2" max="2" width="20.140625" style="2" customWidth="1"/>
    <col min="3" max="3" width="15.57421875" style="2" customWidth="1"/>
    <col min="4" max="4" width="15.8515625" style="2" customWidth="1"/>
    <col min="5" max="5" width="20.00390625" style="2" customWidth="1"/>
    <col min="6" max="6" width="14.28125" style="2" customWidth="1"/>
    <col min="7" max="8" width="8.28125" style="7" customWidth="1"/>
    <col min="9" max="9" width="9.2812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1</v>
      </c>
      <c r="C1" s="35" t="s">
        <v>35</v>
      </c>
      <c r="E1" s="2" t="s">
        <v>41</v>
      </c>
      <c r="F1" s="29">
        <v>20</v>
      </c>
      <c r="G1" s="3" t="s">
        <v>37</v>
      </c>
      <c r="H1" s="2"/>
      <c r="I1" s="2"/>
      <c r="J1" s="2"/>
    </row>
    <row r="2" spans="1:10" ht="12.75">
      <c r="A2" s="3" t="s">
        <v>34</v>
      </c>
      <c r="B2" s="5"/>
      <c r="C2" s="78" t="s">
        <v>139</v>
      </c>
      <c r="E2" s="6" t="s">
        <v>36</v>
      </c>
      <c r="G2" s="38" t="s">
        <v>40</v>
      </c>
      <c r="H2" s="2"/>
      <c r="I2" s="2"/>
      <c r="J2" s="2"/>
    </row>
    <row r="3" spans="1:10" ht="12.75">
      <c r="A3" s="3"/>
      <c r="B3" s="5"/>
      <c r="C3" s="81"/>
      <c r="E3" s="6"/>
      <c r="G3" s="38"/>
      <c r="H3" s="2"/>
      <c r="I3" s="2"/>
      <c r="J3" s="2"/>
    </row>
    <row r="4" spans="1:10" ht="12.75">
      <c r="A4" s="3"/>
      <c r="B4" s="5"/>
      <c r="C4" s="81"/>
      <c r="E4" s="6"/>
      <c r="F4" s="82"/>
      <c r="G4" s="51" t="s">
        <v>176</v>
      </c>
      <c r="H4" s="83">
        <v>9</v>
      </c>
      <c r="I4" s="84" t="s">
        <v>177</v>
      </c>
      <c r="J4" s="82"/>
    </row>
    <row r="5" spans="6:10" ht="12.75">
      <c r="F5" s="5"/>
      <c r="G5" s="16"/>
      <c r="H5" s="16"/>
      <c r="I5" s="15"/>
      <c r="J5" s="16"/>
    </row>
    <row r="6" spans="1:10" ht="12.75">
      <c r="A6" s="3" t="s">
        <v>178</v>
      </c>
      <c r="D6" s="6"/>
      <c r="F6" s="85" t="s">
        <v>179</v>
      </c>
      <c r="G6" s="86" t="s">
        <v>180</v>
      </c>
      <c r="H6" s="87"/>
      <c r="I6" s="87" t="s">
        <v>20</v>
      </c>
      <c r="J6" s="88" t="s">
        <v>181</v>
      </c>
    </row>
    <row r="7" spans="2:10" s="3" customFormat="1" ht="12.75">
      <c r="B7" s="2" t="s">
        <v>182</v>
      </c>
      <c r="F7" s="89" t="s">
        <v>15</v>
      </c>
      <c r="G7" s="16" t="s">
        <v>183</v>
      </c>
      <c r="H7" s="16" t="s">
        <v>184</v>
      </c>
      <c r="I7" s="16"/>
      <c r="J7" s="90"/>
    </row>
    <row r="8" spans="1:10" ht="12.75">
      <c r="A8" s="2">
        <v>0.05</v>
      </c>
      <c r="B8" s="91">
        <v>1</v>
      </c>
      <c r="C8" s="4">
        <f>(A8+(B19/1000))*B10</f>
        <v>0.11000000000000001</v>
      </c>
      <c r="D8" s="29">
        <v>12</v>
      </c>
      <c r="E8" s="4">
        <f>C8*D8+C22</f>
        <v>1.4280000000000004</v>
      </c>
      <c r="F8" s="29">
        <v>12.2</v>
      </c>
      <c r="G8" s="92">
        <f>((F1+20)/40)*F8*150/E8</f>
        <v>1281.5126050420165</v>
      </c>
      <c r="H8" s="93">
        <f>G8/30</f>
        <v>42.717086834733884</v>
      </c>
      <c r="I8" s="92">
        <f>G8*D8*24</f>
        <v>369075.63025210076</v>
      </c>
      <c r="J8" s="94">
        <f>D8*H4*24*30/I8</f>
        <v>0.210688524590164</v>
      </c>
    </row>
    <row r="9" spans="1:10" ht="12.75">
      <c r="A9" s="2" t="s">
        <v>2</v>
      </c>
      <c r="B9" s="2" t="s">
        <v>185</v>
      </c>
      <c r="C9" s="5" t="s">
        <v>4</v>
      </c>
      <c r="D9" s="2" t="s">
        <v>6</v>
      </c>
      <c r="E9" s="5" t="s">
        <v>7</v>
      </c>
      <c r="F9" s="95" t="s">
        <v>186</v>
      </c>
      <c r="G9" s="96"/>
      <c r="H9" s="16"/>
      <c r="I9" s="15"/>
      <c r="J9" s="97"/>
    </row>
    <row r="10" spans="2:10" ht="12.75">
      <c r="B10" s="98">
        <f>2.2+(0.25*(B8-1))</f>
        <v>2.2</v>
      </c>
      <c r="C10" s="4"/>
      <c r="E10" s="2" t="s">
        <v>187</v>
      </c>
      <c r="F10" s="99" t="s">
        <v>188</v>
      </c>
      <c r="G10" s="100"/>
      <c r="H10" s="13"/>
      <c r="I10" s="14"/>
      <c r="J10" s="101"/>
    </row>
    <row r="11" spans="2:10" ht="12.75">
      <c r="B11" s="2" t="s">
        <v>189</v>
      </c>
      <c r="C11" s="4"/>
      <c r="D11" s="2">
        <f>60/D8</f>
        <v>5</v>
      </c>
      <c r="E11" s="3" t="s">
        <v>190</v>
      </c>
      <c r="F11" s="3"/>
      <c r="G11" s="17"/>
      <c r="J11" s="102"/>
    </row>
    <row r="12" spans="3:10" ht="12.75">
      <c r="C12" s="4"/>
      <c r="D12" s="103">
        <f>3600/D8</f>
        <v>300</v>
      </c>
      <c r="E12" s="3" t="s">
        <v>191</v>
      </c>
      <c r="J12" s="8"/>
    </row>
    <row r="13" spans="1:10" s="3" customFormat="1" ht="12.75">
      <c r="A13" s="2"/>
      <c r="B13" s="2"/>
      <c r="C13" s="4"/>
      <c r="D13" s="104" t="s">
        <v>192</v>
      </c>
      <c r="F13" s="47"/>
      <c r="G13" s="105"/>
      <c r="H13" s="105"/>
      <c r="I13" s="106"/>
      <c r="J13" s="59"/>
    </row>
    <row r="14" spans="1:10" ht="12.75">
      <c r="A14" s="2" t="s">
        <v>9</v>
      </c>
      <c r="E14" s="4"/>
      <c r="F14" s="85" t="s">
        <v>193</v>
      </c>
      <c r="G14" s="18"/>
      <c r="H14" s="107" t="s">
        <v>33</v>
      </c>
      <c r="I14" s="130" t="s">
        <v>29</v>
      </c>
      <c r="J14" s="108"/>
    </row>
    <row r="15" spans="1:10" ht="12.75">
      <c r="A15" s="2" t="s">
        <v>14</v>
      </c>
      <c r="B15" s="29">
        <v>0</v>
      </c>
      <c r="C15" s="3" t="s">
        <v>194</v>
      </c>
      <c r="E15" s="5"/>
      <c r="F15" s="20" t="s">
        <v>22</v>
      </c>
      <c r="G15" s="16">
        <v>6</v>
      </c>
      <c r="H15" s="30">
        <v>6</v>
      </c>
      <c r="I15" s="125" t="s">
        <v>30</v>
      </c>
      <c r="J15" s="90"/>
    </row>
    <row r="16" spans="1:10" ht="12.75">
      <c r="A16" s="2" t="s">
        <v>10</v>
      </c>
      <c r="B16" s="29">
        <v>0</v>
      </c>
      <c r="C16" s="3" t="s">
        <v>195</v>
      </c>
      <c r="F16" s="20" t="s">
        <v>14</v>
      </c>
      <c r="G16" s="16">
        <v>2</v>
      </c>
      <c r="H16" s="30">
        <v>0</v>
      </c>
      <c r="I16" s="131">
        <f>8000000/H25</f>
        <v>800000</v>
      </c>
      <c r="J16" s="90"/>
    </row>
    <row r="17" spans="1:10" ht="12.75">
      <c r="A17" s="2" t="s">
        <v>11</v>
      </c>
      <c r="B17" s="29">
        <v>0</v>
      </c>
      <c r="F17" s="20" t="s">
        <v>10</v>
      </c>
      <c r="G17" s="16">
        <v>2</v>
      </c>
      <c r="H17" s="30">
        <v>0</v>
      </c>
      <c r="I17" s="125"/>
      <c r="J17" s="90"/>
    </row>
    <row r="18" spans="1:10" ht="12.75">
      <c r="A18" s="2" t="s">
        <v>12</v>
      </c>
      <c r="B18" s="29">
        <v>0</v>
      </c>
      <c r="F18" s="20" t="s">
        <v>11</v>
      </c>
      <c r="G18" s="16">
        <v>2</v>
      </c>
      <c r="H18" s="30">
        <v>0</v>
      </c>
      <c r="I18" s="125"/>
      <c r="J18" s="90"/>
    </row>
    <row r="19" spans="1:10" ht="12.75">
      <c r="A19" s="2" t="s">
        <v>13</v>
      </c>
      <c r="B19" s="98">
        <f>SUM(B15:B18)</f>
        <v>0</v>
      </c>
      <c r="C19" s="3" t="s">
        <v>31</v>
      </c>
      <c r="F19" s="20" t="s">
        <v>12</v>
      </c>
      <c r="G19" s="16">
        <v>2</v>
      </c>
      <c r="H19" s="30">
        <v>0</v>
      </c>
      <c r="I19" s="125"/>
      <c r="J19" s="90"/>
    </row>
    <row r="20" spans="4:10" ht="12.75">
      <c r="D20" s="1"/>
      <c r="F20" s="20" t="s">
        <v>24</v>
      </c>
      <c r="G20" s="16">
        <v>3</v>
      </c>
      <c r="H20" s="30">
        <v>0</v>
      </c>
      <c r="I20" s="125"/>
      <c r="J20" s="90"/>
    </row>
    <row r="21" spans="1:10" ht="12.75">
      <c r="A21" s="1" t="s">
        <v>0</v>
      </c>
      <c r="B21" s="1"/>
      <c r="C21" s="1"/>
      <c r="F21" s="20" t="s">
        <v>25</v>
      </c>
      <c r="G21" s="22">
        <v>4</v>
      </c>
      <c r="H21" s="31">
        <v>4</v>
      </c>
      <c r="I21" s="125"/>
      <c r="J21" s="90"/>
    </row>
    <row r="22" spans="1:10" ht="12.75">
      <c r="A22" s="2">
        <v>3E-05</v>
      </c>
      <c r="B22" s="2">
        <v>3600</v>
      </c>
      <c r="C22" s="2">
        <f>A22*B22</f>
        <v>0.108</v>
      </c>
      <c r="F22" s="20" t="s">
        <v>26</v>
      </c>
      <c r="G22" s="16">
        <v>7</v>
      </c>
      <c r="H22" s="30">
        <v>0</v>
      </c>
      <c r="I22" s="125"/>
      <c r="J22" s="90"/>
    </row>
    <row r="23" spans="1:10" ht="12.75">
      <c r="A23" s="5" t="s">
        <v>2</v>
      </c>
      <c r="B23" s="5" t="s">
        <v>5</v>
      </c>
      <c r="C23" s="5" t="s">
        <v>4</v>
      </c>
      <c r="F23" s="20" t="s">
        <v>27</v>
      </c>
      <c r="G23" s="16">
        <v>7</v>
      </c>
      <c r="H23" s="30">
        <v>0</v>
      </c>
      <c r="I23" s="125"/>
      <c r="J23" s="90"/>
    </row>
    <row r="24" spans="1:10" s="1" customFormat="1" ht="12.75">
      <c r="A24" s="2"/>
      <c r="B24" s="2"/>
      <c r="C24" s="2"/>
      <c r="D24" s="2"/>
      <c r="F24" s="23" t="s">
        <v>27</v>
      </c>
      <c r="G24" s="13">
        <v>7</v>
      </c>
      <c r="H24" s="30">
        <v>0</v>
      </c>
      <c r="I24" s="132"/>
      <c r="J24" s="109" t="s">
        <v>181</v>
      </c>
    </row>
    <row r="25" spans="1:10" ht="12.75">
      <c r="A25" s="1" t="s">
        <v>196</v>
      </c>
      <c r="F25" s="24" t="s">
        <v>28</v>
      </c>
      <c r="G25" s="13"/>
      <c r="H25" s="110">
        <f>SUM(H15:H24)</f>
        <v>10</v>
      </c>
      <c r="I25" s="133"/>
      <c r="J25" s="111">
        <f>D8*H4*24*30/I16</f>
        <v>0.0972</v>
      </c>
    </row>
    <row r="26" spans="1:10" ht="12.75">
      <c r="A26" s="3"/>
      <c r="F26" s="5"/>
      <c r="G26" s="16"/>
      <c r="H26" s="16"/>
      <c r="I26" s="15"/>
      <c r="J26" s="16"/>
    </row>
    <row r="27" spans="1:8" ht="12.75">
      <c r="A27" s="26" t="s">
        <v>38</v>
      </c>
      <c r="B27" s="25"/>
      <c r="C27" s="25"/>
      <c r="F27" s="25"/>
      <c r="G27" s="27"/>
      <c r="H27" s="27"/>
    </row>
    <row r="28" spans="1:2" ht="12.75">
      <c r="A28" s="37" t="s">
        <v>43</v>
      </c>
      <c r="B28" s="3"/>
    </row>
    <row r="29" ht="12.75">
      <c r="A29" s="26" t="s">
        <v>39</v>
      </c>
    </row>
    <row r="30" spans="1:10" s="25" customFormat="1" ht="12.75">
      <c r="A30" s="26" t="s">
        <v>197</v>
      </c>
      <c r="B30" s="2"/>
      <c r="C30" s="2"/>
      <c r="D30" s="2"/>
      <c r="F30" s="2"/>
      <c r="G30" s="7"/>
      <c r="H30" s="7"/>
      <c r="I30" s="28"/>
      <c r="J30" s="27"/>
    </row>
    <row r="31" ht="12.75">
      <c r="A31" s="25"/>
    </row>
  </sheetData>
  <sheetProtection sheet="1" objects="1" scenarios="1" selectLockedCells="1"/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2"/>
  </sheetPr>
  <dimension ref="A1:P36"/>
  <sheetViews>
    <sheetView workbookViewId="0" topLeftCell="A1">
      <selection activeCell="C2" sqref="C2"/>
    </sheetView>
  </sheetViews>
  <sheetFormatPr defaultColWidth="9.140625" defaultRowHeight="12.75"/>
  <cols>
    <col min="1" max="1" width="15.57421875" style="2" customWidth="1"/>
    <col min="2" max="2" width="21.00390625" style="2" customWidth="1"/>
    <col min="3" max="3" width="19.8515625" style="2" customWidth="1"/>
    <col min="4" max="4" width="14.7109375" style="2" customWidth="1"/>
    <col min="5" max="5" width="19.7109375" style="2" customWidth="1"/>
    <col min="6" max="6" width="12.8515625" style="2" customWidth="1"/>
    <col min="7" max="7" width="8.140625" style="7" customWidth="1"/>
    <col min="8" max="8" width="7.28125" style="7" customWidth="1"/>
    <col min="9" max="9" width="10.4218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248</v>
      </c>
      <c r="C1" s="35" t="s">
        <v>57</v>
      </c>
      <c r="D1" s="3" t="s">
        <v>34</v>
      </c>
      <c r="H1" s="2"/>
      <c r="I1" s="2"/>
      <c r="J1" s="2"/>
    </row>
    <row r="2" spans="2:3" ht="12.75">
      <c r="B2" s="5"/>
      <c r="C2" s="78" t="s">
        <v>139</v>
      </c>
    </row>
    <row r="3" spans="1:10" ht="12.75">
      <c r="A3" s="3"/>
      <c r="B3" s="5"/>
      <c r="C3" s="81"/>
      <c r="F3" s="117"/>
      <c r="G3" s="117"/>
      <c r="H3" s="150"/>
      <c r="I3" s="151"/>
      <c r="J3" s="152"/>
    </row>
    <row r="4" spans="1:10" ht="12.75">
      <c r="A4" s="3" t="s">
        <v>97</v>
      </c>
      <c r="B4" s="5"/>
      <c r="C4" s="5"/>
      <c r="F4" s="117"/>
      <c r="G4" s="117"/>
      <c r="H4" s="150"/>
      <c r="I4" s="151"/>
      <c r="J4" s="152"/>
    </row>
    <row r="5" spans="1:10" ht="12.75">
      <c r="A5" s="3"/>
      <c r="B5" s="42">
        <v>10</v>
      </c>
      <c r="C5" s="66">
        <f>0.005*0.5*B5</f>
        <v>0.025</v>
      </c>
      <c r="D5" s="29">
        <v>1</v>
      </c>
      <c r="F5" s="51"/>
      <c r="G5" s="51" t="s">
        <v>176</v>
      </c>
      <c r="H5" s="83">
        <v>12</v>
      </c>
      <c r="I5" s="84" t="s">
        <v>177</v>
      </c>
      <c r="J5" s="82"/>
    </row>
    <row r="6" spans="3:10" ht="12.75">
      <c r="C6" s="5" t="s">
        <v>4</v>
      </c>
      <c r="D6" s="2" t="s">
        <v>218</v>
      </c>
      <c r="F6" s="5"/>
      <c r="G6" s="16"/>
      <c r="H6" s="16"/>
      <c r="I6" s="15"/>
      <c r="J6" s="16"/>
    </row>
    <row r="7" spans="4:10" ht="12.75">
      <c r="D7" s="6"/>
      <c r="F7" s="85" t="s">
        <v>179</v>
      </c>
      <c r="G7" s="86" t="s">
        <v>235</v>
      </c>
      <c r="H7" s="87"/>
      <c r="I7" s="87" t="s">
        <v>20</v>
      </c>
      <c r="J7" s="88" t="s">
        <v>236</v>
      </c>
    </row>
    <row r="8" spans="1:10" s="3" customFormat="1" ht="12.75">
      <c r="A8" s="40" t="s">
        <v>48</v>
      </c>
      <c r="B8" s="41"/>
      <c r="F8" s="89" t="s">
        <v>15</v>
      </c>
      <c r="G8" s="16" t="s">
        <v>237</v>
      </c>
      <c r="H8" s="16" t="s">
        <v>184</v>
      </c>
      <c r="I8" s="15"/>
      <c r="J8" s="109"/>
    </row>
    <row r="9" spans="1:10" ht="12.75">
      <c r="A9" s="2">
        <v>0.035</v>
      </c>
      <c r="B9" s="49">
        <v>3.8</v>
      </c>
      <c r="C9" s="4">
        <f>A9*B9</f>
        <v>0.133</v>
      </c>
      <c r="D9" s="29">
        <v>30</v>
      </c>
      <c r="E9" s="4">
        <f>(C9+C25)*D9+C22+(C5*D5)</f>
        <v>8.023</v>
      </c>
      <c r="F9" s="29">
        <v>5</v>
      </c>
      <c r="G9" s="92">
        <f>F9*150/E9</f>
        <v>93.4812414308862</v>
      </c>
      <c r="H9" s="140">
        <f>G9/30</f>
        <v>3.11604138102954</v>
      </c>
      <c r="I9" s="92">
        <f>G9*D9*24</f>
        <v>67306.49383023806</v>
      </c>
      <c r="J9" s="94">
        <f>D9*24*30*H5/I9</f>
        <v>3.8510400000000002</v>
      </c>
    </row>
    <row r="10" spans="1:10" ht="12.75">
      <c r="A10" s="2" t="s">
        <v>2</v>
      </c>
      <c r="B10" s="44" t="s">
        <v>59</v>
      </c>
      <c r="C10" s="5" t="s">
        <v>4</v>
      </c>
      <c r="D10" s="2" t="s">
        <v>6</v>
      </c>
      <c r="E10" s="5" t="s">
        <v>7</v>
      </c>
      <c r="F10" s="99" t="s">
        <v>50</v>
      </c>
      <c r="G10" s="100"/>
      <c r="H10" s="13"/>
      <c r="I10" s="14"/>
      <c r="J10" s="101"/>
    </row>
    <row r="11" spans="2:10" ht="12.75">
      <c r="B11"/>
      <c r="C11" s="4"/>
      <c r="D11" s="43">
        <f>60/D9</f>
        <v>2</v>
      </c>
      <c r="E11" s="3" t="s">
        <v>91</v>
      </c>
      <c r="G11" s="17"/>
      <c r="J11" s="102"/>
    </row>
    <row r="12" spans="2:10" ht="12.75">
      <c r="B12" s="143"/>
      <c r="C12" s="3"/>
      <c r="D12" s="98">
        <f>3600/D9</f>
        <v>120</v>
      </c>
      <c r="E12" s="3" t="s">
        <v>238</v>
      </c>
      <c r="J12" s="8"/>
    </row>
    <row r="13" spans="1:16" s="3" customFormat="1" ht="12.75">
      <c r="A13"/>
      <c r="B13" s="2"/>
      <c r="D13" s="141" t="s">
        <v>239</v>
      </c>
      <c r="J13" s="6"/>
      <c r="L13" s="112"/>
      <c r="M13" s="112"/>
      <c r="N13" s="112"/>
      <c r="O13" s="112"/>
      <c r="P13" s="112"/>
    </row>
    <row r="14" spans="6:16" ht="12.75">
      <c r="F14" s="85" t="s">
        <v>179</v>
      </c>
      <c r="G14" s="86" t="s">
        <v>235</v>
      </c>
      <c r="H14" s="87"/>
      <c r="I14" s="87" t="s">
        <v>20</v>
      </c>
      <c r="J14" s="88" t="s">
        <v>236</v>
      </c>
      <c r="L14" s="142"/>
      <c r="M14" s="142"/>
      <c r="N14" s="142"/>
      <c r="O14" s="142"/>
      <c r="P14" s="142"/>
    </row>
    <row r="15" spans="1:16" ht="12.75">
      <c r="A15" s="40" t="s">
        <v>52</v>
      </c>
      <c r="B15" s="3"/>
      <c r="C15" s="3"/>
      <c r="D15" s="3"/>
      <c r="E15" s="3"/>
      <c r="F15" s="89" t="s">
        <v>15</v>
      </c>
      <c r="G15" s="16" t="s">
        <v>237</v>
      </c>
      <c r="H15" s="16" t="s">
        <v>184</v>
      </c>
      <c r="I15" s="15"/>
      <c r="J15" s="109"/>
      <c r="L15" s="142"/>
      <c r="M15" s="142"/>
      <c r="N15" s="142"/>
      <c r="O15" s="142"/>
      <c r="P15" s="142"/>
    </row>
    <row r="16" spans="1:16" ht="12.75">
      <c r="A16" s="2">
        <v>0.035</v>
      </c>
      <c r="B16" s="49">
        <v>2.6</v>
      </c>
      <c r="C16" s="4">
        <f>A16*B16</f>
        <v>0.09100000000000001</v>
      </c>
      <c r="D16" s="29">
        <v>10</v>
      </c>
      <c r="E16" s="4">
        <f>C16*D16+((D16+1)*C25)+C22+C5</f>
        <v>2.4730000000000003</v>
      </c>
      <c r="F16" s="29">
        <v>5</v>
      </c>
      <c r="G16" s="92">
        <f>F16*150/E16</f>
        <v>303.27537403962793</v>
      </c>
      <c r="H16" s="140">
        <f>G16/30</f>
        <v>10.109179134654264</v>
      </c>
      <c r="I16" s="92">
        <f>G16*D16*24</f>
        <v>72786.0897695107</v>
      </c>
      <c r="J16" s="94">
        <f>D16*24*30*H5/I16</f>
        <v>1.1870400000000003</v>
      </c>
      <c r="L16" s="142"/>
      <c r="M16" s="142"/>
      <c r="N16" s="142"/>
      <c r="O16" s="142"/>
      <c r="P16" s="142"/>
    </row>
    <row r="17" spans="1:16" ht="12.75">
      <c r="A17" s="2" t="s">
        <v>2</v>
      </c>
      <c r="B17" s="44" t="s">
        <v>59</v>
      </c>
      <c r="C17" s="5" t="s">
        <v>4</v>
      </c>
      <c r="D17" s="2" t="s">
        <v>6</v>
      </c>
      <c r="E17" s="5" t="s">
        <v>7</v>
      </c>
      <c r="F17" s="99" t="s">
        <v>50</v>
      </c>
      <c r="G17" s="100"/>
      <c r="H17" s="13"/>
      <c r="I17" s="14"/>
      <c r="J17" s="101"/>
      <c r="L17" s="142"/>
      <c r="M17" s="142"/>
      <c r="N17" s="142"/>
      <c r="O17" s="142"/>
      <c r="P17" s="142"/>
    </row>
    <row r="18" spans="2:16" ht="12.75">
      <c r="B18"/>
      <c r="C18" s="4"/>
      <c r="D18" s="43">
        <f>60/D16</f>
        <v>6</v>
      </c>
      <c r="E18" s="3" t="s">
        <v>91</v>
      </c>
      <c r="J18" s="8"/>
      <c r="L18" s="142"/>
      <c r="M18" s="142"/>
      <c r="N18" s="142"/>
      <c r="O18" s="142"/>
      <c r="P18" s="142"/>
    </row>
    <row r="19" spans="2:16" ht="12.75">
      <c r="B19" s="36"/>
      <c r="C19" s="3"/>
      <c r="D19" s="98">
        <f>3600/D16</f>
        <v>360</v>
      </c>
      <c r="E19" s="3" t="s">
        <v>238</v>
      </c>
      <c r="J19" s="8"/>
      <c r="L19" s="142"/>
      <c r="M19" s="142"/>
      <c r="N19" s="142"/>
      <c r="O19" s="142"/>
      <c r="P19" s="142"/>
    </row>
    <row r="20" spans="1:16" ht="12.75">
      <c r="A20"/>
      <c r="C20"/>
      <c r="D20" s="141" t="s">
        <v>239</v>
      </c>
      <c r="J20" s="8"/>
      <c r="L20" s="142"/>
      <c r="M20" s="142"/>
      <c r="N20" s="142"/>
      <c r="O20" s="142"/>
      <c r="P20" s="142"/>
    </row>
    <row r="21" spans="1:16" ht="12.75">
      <c r="A21" s="1" t="s">
        <v>0</v>
      </c>
      <c r="B21"/>
      <c r="C21" s="1"/>
      <c r="D21" s="1"/>
      <c r="F21" s="85" t="s">
        <v>193</v>
      </c>
      <c r="G21" s="45"/>
      <c r="H21" s="45"/>
      <c r="I21" s="87"/>
      <c r="J21" s="144" t="s">
        <v>181</v>
      </c>
      <c r="L21" s="142">
        <v>0</v>
      </c>
      <c r="M21" s="142"/>
      <c r="N21" s="142"/>
      <c r="O21" s="142"/>
      <c r="P21" s="142"/>
    </row>
    <row r="22" spans="1:16" ht="12.75">
      <c r="A22" s="2">
        <v>3E-05</v>
      </c>
      <c r="B22" s="2">
        <v>3600</v>
      </c>
      <c r="C22" s="2">
        <f>A22*B22</f>
        <v>0.108</v>
      </c>
      <c r="F22" s="46" t="s">
        <v>22</v>
      </c>
      <c r="G22" s="5">
        <v>5</v>
      </c>
      <c r="H22" s="5"/>
      <c r="I22" s="154"/>
      <c r="J22" s="147" t="s">
        <v>241</v>
      </c>
      <c r="L22" s="142">
        <v>4</v>
      </c>
      <c r="M22" s="142"/>
      <c r="N22" s="142"/>
      <c r="O22" s="142"/>
      <c r="P22" s="142"/>
    </row>
    <row r="23" spans="1:16" ht="12.75">
      <c r="A23" s="5" t="s">
        <v>2</v>
      </c>
      <c r="B23" s="5" t="s">
        <v>5</v>
      </c>
      <c r="C23" s="5" t="s">
        <v>4</v>
      </c>
      <c r="F23" s="46" t="s">
        <v>53</v>
      </c>
      <c r="G23" s="42">
        <v>4</v>
      </c>
      <c r="H23" s="47" t="s">
        <v>240</v>
      </c>
      <c r="I23" s="52" t="s">
        <v>29</v>
      </c>
      <c r="J23" s="145">
        <f>D9*24*30*H5/I25</f>
        <v>1.3921875000000001</v>
      </c>
      <c r="L23" s="142"/>
      <c r="M23" s="142"/>
      <c r="N23" s="142"/>
      <c r="O23" s="142"/>
      <c r="P23" s="142"/>
    </row>
    <row r="24" spans="1:16" ht="12.75">
      <c r="A24" s="3" t="s">
        <v>60</v>
      </c>
      <c r="B24" s="3"/>
      <c r="C24" s="4"/>
      <c r="F24" s="46" t="s">
        <v>54</v>
      </c>
      <c r="G24" s="153">
        <v>2</v>
      </c>
      <c r="H24" s="5"/>
      <c r="I24" s="52" t="s">
        <v>30</v>
      </c>
      <c r="J24" s="147" t="s">
        <v>242</v>
      </c>
      <c r="L24" s="142">
        <v>1024</v>
      </c>
      <c r="M24" s="142"/>
      <c r="N24" s="142"/>
      <c r="O24" s="142"/>
      <c r="P24" s="142"/>
    </row>
    <row r="25" spans="1:16" ht="12.75">
      <c r="A25" s="2">
        <v>0.26</v>
      </c>
      <c r="B25" s="49">
        <v>0.5</v>
      </c>
      <c r="C25" s="4">
        <f>A25*B25</f>
        <v>0.13</v>
      </c>
      <c r="F25" s="24" t="s">
        <v>55</v>
      </c>
      <c r="G25" s="48">
        <f>G22+G23+G24</f>
        <v>11</v>
      </c>
      <c r="H25" s="48"/>
      <c r="I25" s="148">
        <f>2048000/G25</f>
        <v>186181.81818181818</v>
      </c>
      <c r="J25" s="146">
        <f>D16*24*30*H5/I25</f>
        <v>0.4640625</v>
      </c>
      <c r="L25" s="142">
        <v>2048</v>
      </c>
      <c r="M25" s="142"/>
      <c r="N25" s="142"/>
      <c r="O25" s="142"/>
      <c r="P25" s="142"/>
    </row>
    <row r="26" spans="1:16" ht="12.75">
      <c r="A26" s="2" t="s">
        <v>2</v>
      </c>
      <c r="B26" s="2" t="s">
        <v>3</v>
      </c>
      <c r="C26" s="5" t="s">
        <v>4</v>
      </c>
      <c r="F26" s="5"/>
      <c r="G26" s="5"/>
      <c r="H26" s="5"/>
      <c r="I26" s="5"/>
      <c r="J26" s="16"/>
      <c r="M26" s="142"/>
      <c r="N26" s="142"/>
      <c r="O26" s="142"/>
      <c r="P26" s="142"/>
    </row>
    <row r="27" spans="2:16" ht="12.75">
      <c r="B27" s="1"/>
      <c r="F27" s="5"/>
      <c r="G27" s="16"/>
      <c r="H27" s="16"/>
      <c r="I27" s="15"/>
      <c r="J27" s="16"/>
      <c r="L27" s="142"/>
      <c r="M27" s="142"/>
      <c r="N27" s="142"/>
      <c r="O27" s="142"/>
      <c r="P27" s="142"/>
    </row>
    <row r="28" spans="1:16" ht="12.75">
      <c r="A28" s="1" t="s">
        <v>245</v>
      </c>
      <c r="L28" s="142"/>
      <c r="M28" s="142"/>
      <c r="N28" s="142"/>
      <c r="O28" s="142"/>
      <c r="P28" s="142"/>
    </row>
    <row r="29" spans="1:16" ht="12.75">
      <c r="A29" s="3"/>
      <c r="L29" s="142"/>
      <c r="M29" s="142"/>
      <c r="N29" s="142"/>
      <c r="O29" s="142"/>
      <c r="P29" s="142"/>
    </row>
    <row r="30" spans="1:16" ht="12.75">
      <c r="A30" s="26" t="s">
        <v>38</v>
      </c>
      <c r="C30" s="25"/>
      <c r="D30" s="25"/>
      <c r="L30" s="142"/>
      <c r="M30" s="142"/>
      <c r="N30" s="142"/>
      <c r="O30" s="142"/>
      <c r="P30" s="142"/>
    </row>
    <row r="31" spans="1:16" s="25" customFormat="1" ht="12.75">
      <c r="A31" s="37" t="s">
        <v>56</v>
      </c>
      <c r="B31" s="2"/>
      <c r="C31" s="2"/>
      <c r="D31" s="2"/>
      <c r="G31" s="27"/>
      <c r="H31" s="27"/>
      <c r="I31" s="28"/>
      <c r="J31" s="27"/>
      <c r="L31" s="64"/>
      <c r="M31" s="64"/>
      <c r="N31" s="64"/>
      <c r="O31" s="64"/>
      <c r="P31" s="64"/>
    </row>
    <row r="32" spans="1:16" ht="12.75">
      <c r="A32" s="26" t="s">
        <v>39</v>
      </c>
      <c r="B32" s="3"/>
      <c r="L32" s="142"/>
      <c r="M32" s="142"/>
      <c r="N32" s="142"/>
      <c r="O32" s="142"/>
      <c r="P32" s="142"/>
    </row>
    <row r="33" spans="1:2" ht="12.75">
      <c r="A33" s="26"/>
      <c r="B33" s="25"/>
    </row>
    <row r="34" spans="1:2" ht="12.75">
      <c r="A34" s="25"/>
      <c r="B34" s="3"/>
    </row>
    <row r="35" ht="12.75">
      <c r="B35" s="3"/>
    </row>
    <row r="36" ht="12.75">
      <c r="B36" s="3"/>
    </row>
  </sheetData>
  <sheetProtection sheet="1" objects="1" scenarios="1" selectLockedCells="1"/>
  <dataValidations count="1">
    <dataValidation type="list" allowBlank="1" showInputMessage="1" showErrorMessage="1" sqref="G23">
      <formula1>$L$21:$L$22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P33"/>
  <sheetViews>
    <sheetView workbookViewId="0" topLeftCell="A1">
      <selection activeCell="A1" sqref="A1"/>
    </sheetView>
  </sheetViews>
  <sheetFormatPr defaultColWidth="9.140625" defaultRowHeight="12.75"/>
  <cols>
    <col min="1" max="1" width="23.57421875" style="2" customWidth="1"/>
    <col min="2" max="2" width="20.28125" style="2" customWidth="1"/>
    <col min="3" max="3" width="33.28125" style="2" customWidth="1"/>
    <col min="4" max="4" width="14.7109375" style="2" customWidth="1"/>
    <col min="5" max="6" width="8.8515625" style="2" customWidth="1"/>
    <col min="7" max="7" width="12.140625" style="7" customWidth="1"/>
    <col min="8" max="8" width="13.8515625" style="7" customWidth="1"/>
    <col min="9" max="9" width="10.4218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251</v>
      </c>
      <c r="C1"/>
      <c r="D1" s="2" t="s">
        <v>41</v>
      </c>
      <c r="E1" s="29">
        <v>20</v>
      </c>
      <c r="F1" s="3" t="s">
        <v>37</v>
      </c>
      <c r="G1" s="2"/>
      <c r="H1" s="2"/>
      <c r="I1" s="2"/>
      <c r="J1" s="2"/>
    </row>
    <row r="2" spans="1:8" ht="12.75">
      <c r="A2" s="3" t="s">
        <v>34</v>
      </c>
      <c r="B2" s="5"/>
      <c r="C2" s="78" t="s">
        <v>139</v>
      </c>
      <c r="D2" s="6" t="s">
        <v>36</v>
      </c>
      <c r="F2" s="38" t="s">
        <v>40</v>
      </c>
      <c r="G2" s="2"/>
      <c r="H2" s="2"/>
    </row>
    <row r="3" spans="1:10" ht="12.75">
      <c r="A3"/>
      <c r="B3"/>
      <c r="C3"/>
      <c r="D3"/>
      <c r="F3" s="117"/>
      <c r="G3" s="117"/>
      <c r="H3" s="150"/>
      <c r="I3" s="151"/>
      <c r="J3" s="152"/>
    </row>
    <row r="4" spans="1:8" ht="12.75">
      <c r="A4" s="50" t="s">
        <v>63</v>
      </c>
      <c r="B4" s="51"/>
      <c r="D4" s="51"/>
      <c r="E4" s="51" t="s">
        <v>176</v>
      </c>
      <c r="F4" s="83">
        <v>12</v>
      </c>
      <c r="G4" s="84" t="s">
        <v>177</v>
      </c>
      <c r="H4" s="82"/>
    </row>
    <row r="5" spans="1:8" ht="12.75">
      <c r="A5" s="50" t="s">
        <v>64</v>
      </c>
      <c r="B5" s="51"/>
      <c r="D5" s="5"/>
      <c r="E5" s="16"/>
      <c r="F5" s="16"/>
      <c r="G5" s="15"/>
      <c r="H5" s="16"/>
    </row>
    <row r="6" spans="2:8" ht="12.75">
      <c r="B6" s="6"/>
      <c r="D6" s="85" t="s">
        <v>179</v>
      </c>
      <c r="E6" s="86" t="s">
        <v>235</v>
      </c>
      <c r="F6" s="87"/>
      <c r="G6" s="87" t="s">
        <v>20</v>
      </c>
      <c r="H6" s="88" t="s">
        <v>236</v>
      </c>
    </row>
    <row r="7" spans="1:8" s="3" customFormat="1" ht="12.75">
      <c r="A7" s="3" t="s">
        <v>65</v>
      </c>
      <c r="D7" s="89" t="s">
        <v>15</v>
      </c>
      <c r="E7" s="16" t="s">
        <v>237</v>
      </c>
      <c r="F7" s="16" t="s">
        <v>184</v>
      </c>
      <c r="G7" s="15"/>
      <c r="H7" s="109"/>
    </row>
    <row r="8" spans="1:8" ht="12.75">
      <c r="A8" s="4">
        <v>0.018</v>
      </c>
      <c r="B8" s="29">
        <v>10</v>
      </c>
      <c r="C8" s="4">
        <f>A8*B8+C22</f>
        <v>0.216</v>
      </c>
      <c r="D8" s="29">
        <v>1.1</v>
      </c>
      <c r="E8" s="140">
        <f>((E1+20)/40)*D8*150/C8</f>
        <v>763.8888888888889</v>
      </c>
      <c r="F8" s="140">
        <f>E8/30</f>
        <v>25.462962962962965</v>
      </c>
      <c r="G8" s="92">
        <f>E8*B8*24</f>
        <v>183333.3333333333</v>
      </c>
      <c r="H8" s="94">
        <f>B8*24*30*F4/G8</f>
        <v>0.47127272727272734</v>
      </c>
    </row>
    <row r="9" spans="1:8" ht="12.75">
      <c r="A9" s="5" t="s">
        <v>68</v>
      </c>
      <c r="B9" s="2" t="s">
        <v>6</v>
      </c>
      <c r="C9" s="5" t="s">
        <v>7</v>
      </c>
      <c r="D9" s="20" t="s">
        <v>69</v>
      </c>
      <c r="E9" s="96"/>
      <c r="F9" s="16"/>
      <c r="G9" s="15"/>
      <c r="H9" s="97"/>
    </row>
    <row r="10" spans="1:8" ht="12.75">
      <c r="A10" s="4" t="s">
        <v>70</v>
      </c>
      <c r="B10" s="43">
        <f>60/B8</f>
        <v>6</v>
      </c>
      <c r="C10" s="3" t="s">
        <v>91</v>
      </c>
      <c r="D10" s="23" t="s">
        <v>71</v>
      </c>
      <c r="E10" s="100"/>
      <c r="F10" s="13"/>
      <c r="G10" s="14"/>
      <c r="H10" s="101"/>
    </row>
    <row r="11" spans="1:8" ht="12.75">
      <c r="A11" s="3"/>
      <c r="B11" s="103">
        <f>3600/B8</f>
        <v>360</v>
      </c>
      <c r="C11" s="3" t="s">
        <v>238</v>
      </c>
      <c r="E11" s="7"/>
      <c r="F11" s="7"/>
      <c r="G11" s="10"/>
      <c r="H11" s="8"/>
    </row>
    <row r="12" spans="2:16" s="3" customFormat="1" ht="12.75">
      <c r="B12" s="141" t="s">
        <v>239</v>
      </c>
      <c r="H12" s="6"/>
      <c r="L12" s="112"/>
      <c r="M12" s="112"/>
      <c r="N12" s="112"/>
      <c r="O12" s="112"/>
      <c r="P12" s="112"/>
    </row>
    <row r="13" spans="4:16" ht="12.75">
      <c r="D13" s="85" t="s">
        <v>179</v>
      </c>
      <c r="E13" s="86" t="s">
        <v>235</v>
      </c>
      <c r="F13" s="87"/>
      <c r="G13" s="87" t="s">
        <v>20</v>
      </c>
      <c r="H13" s="88" t="s">
        <v>236</v>
      </c>
      <c r="L13" s="142"/>
      <c r="M13" s="142"/>
      <c r="N13" s="142"/>
      <c r="O13" s="142"/>
      <c r="P13" s="142"/>
    </row>
    <row r="14" spans="1:16" ht="12.75">
      <c r="A14" s="3" t="s">
        <v>72</v>
      </c>
      <c r="B14" s="3"/>
      <c r="C14" s="3"/>
      <c r="D14" s="89" t="s">
        <v>15</v>
      </c>
      <c r="E14" s="16" t="s">
        <v>237</v>
      </c>
      <c r="F14" s="16" t="s">
        <v>184</v>
      </c>
      <c r="G14" s="15"/>
      <c r="H14" s="109"/>
      <c r="L14" s="142"/>
      <c r="M14" s="142"/>
      <c r="N14" s="142"/>
      <c r="O14" s="142"/>
      <c r="P14" s="142"/>
    </row>
    <row r="15" spans="1:16" ht="12.75">
      <c r="A15" s="4">
        <v>0.023</v>
      </c>
      <c r="B15" s="29">
        <v>12</v>
      </c>
      <c r="C15" s="4">
        <f>A15*B15+C22</f>
        <v>0.31200000000000006</v>
      </c>
      <c r="D15" s="29">
        <v>1.1</v>
      </c>
      <c r="E15" s="92">
        <f>((E1+20)/40)*D15*150/C15</f>
        <v>528.8461538461537</v>
      </c>
      <c r="F15" s="140">
        <f>E15/30</f>
        <v>17.628205128205124</v>
      </c>
      <c r="G15" s="92">
        <f>E15*B15*24</f>
        <v>152307.69230769225</v>
      </c>
      <c r="H15" s="94">
        <f>B15*24*30*F4/G15</f>
        <v>0.680727272727273</v>
      </c>
      <c r="L15" s="142"/>
      <c r="M15" s="142"/>
      <c r="N15" s="142"/>
      <c r="O15" s="142"/>
      <c r="P15" s="142"/>
    </row>
    <row r="16" spans="1:16" ht="12.75">
      <c r="A16" s="5" t="s">
        <v>68</v>
      </c>
      <c r="B16" s="2" t="s">
        <v>6</v>
      </c>
      <c r="C16" s="5" t="s">
        <v>7</v>
      </c>
      <c r="D16" s="20" t="s">
        <v>69</v>
      </c>
      <c r="E16" s="96"/>
      <c r="F16" s="16"/>
      <c r="G16" s="15"/>
      <c r="H16" s="97"/>
      <c r="L16" s="142"/>
      <c r="M16" s="142"/>
      <c r="N16" s="142"/>
      <c r="O16" s="142"/>
      <c r="P16" s="142"/>
    </row>
    <row r="17" spans="1:16" ht="12.75">
      <c r="A17" s="4" t="s">
        <v>70</v>
      </c>
      <c r="B17" s="43">
        <f>60/B15</f>
        <v>5</v>
      </c>
      <c r="C17" s="3" t="s">
        <v>91</v>
      </c>
      <c r="D17" s="23" t="s">
        <v>71</v>
      </c>
      <c r="E17" s="13"/>
      <c r="F17" s="13"/>
      <c r="G17" s="14"/>
      <c r="H17" s="155"/>
      <c r="L17" s="142"/>
      <c r="M17" s="142"/>
      <c r="N17" s="142"/>
      <c r="O17" s="142"/>
      <c r="P17" s="142"/>
    </row>
    <row r="18" spans="1:16" ht="12.75">
      <c r="A18" s="3"/>
      <c r="B18" s="103">
        <f>3600/B15</f>
        <v>300</v>
      </c>
      <c r="C18" s="3" t="s">
        <v>238</v>
      </c>
      <c r="E18" s="7"/>
      <c r="F18" s="7"/>
      <c r="G18" s="10"/>
      <c r="H18" s="8"/>
      <c r="L18" s="142"/>
      <c r="M18" s="142"/>
      <c r="N18" s="142"/>
      <c r="O18" s="142"/>
      <c r="P18" s="142"/>
    </row>
    <row r="19" spans="1:16" ht="12.75">
      <c r="A19"/>
      <c r="B19" s="141" t="s">
        <v>239</v>
      </c>
      <c r="E19" s="7"/>
      <c r="F19" s="7"/>
      <c r="G19" s="10"/>
      <c r="H19" s="8"/>
      <c r="L19" s="142"/>
      <c r="M19" s="142"/>
      <c r="N19" s="142"/>
      <c r="O19" s="142"/>
      <c r="P19" s="142"/>
    </row>
    <row r="20" spans="1:16" ht="12.75">
      <c r="A20"/>
      <c r="B20" s="141"/>
      <c r="E20" s="7"/>
      <c r="F20" s="7"/>
      <c r="G20" s="10"/>
      <c r="H20" s="8"/>
      <c r="L20" s="142"/>
      <c r="M20" s="142"/>
      <c r="N20" s="142"/>
      <c r="O20" s="142"/>
      <c r="P20" s="142"/>
    </row>
    <row r="21" spans="1:16" ht="12.75">
      <c r="A21" s="1" t="s">
        <v>0</v>
      </c>
      <c r="B21"/>
      <c r="C21" s="1"/>
      <c r="D21" s="85" t="s">
        <v>193</v>
      </c>
      <c r="E21" s="45"/>
      <c r="F21" s="45"/>
      <c r="G21" s="87" t="s">
        <v>136</v>
      </c>
      <c r="H21" s="144" t="s">
        <v>181</v>
      </c>
      <c r="L21" s="142">
        <v>0</v>
      </c>
      <c r="M21" s="142"/>
      <c r="N21" s="142"/>
      <c r="O21" s="142"/>
      <c r="P21" s="142"/>
    </row>
    <row r="22" spans="1:16" ht="12.75">
      <c r="A22" s="2">
        <v>1E-05</v>
      </c>
      <c r="B22" s="2">
        <v>3600</v>
      </c>
      <c r="C22" s="2">
        <f>A22*B22</f>
        <v>0.036000000000000004</v>
      </c>
      <c r="D22" s="46"/>
      <c r="E22" s="16"/>
      <c r="F22" s="16"/>
      <c r="G22" s="168">
        <v>2048</v>
      </c>
      <c r="H22" s="147" t="s">
        <v>250</v>
      </c>
      <c r="L22" s="142">
        <v>2</v>
      </c>
      <c r="M22" s="142"/>
      <c r="N22" s="142"/>
      <c r="O22" s="142"/>
      <c r="P22" s="142"/>
    </row>
    <row r="23" spans="1:16" ht="12.75">
      <c r="A23" s="5" t="s">
        <v>2</v>
      </c>
      <c r="B23" s="5" t="s">
        <v>5</v>
      </c>
      <c r="C23" s="5" t="s">
        <v>4</v>
      </c>
      <c r="D23" s="46" t="s">
        <v>73</v>
      </c>
      <c r="E23" s="5">
        <v>7</v>
      </c>
      <c r="F23" s="5"/>
      <c r="G23" s="52" t="s">
        <v>29</v>
      </c>
      <c r="H23" s="145">
        <f>B8*24*30*F4/G25</f>
        <v>0.3796875</v>
      </c>
      <c r="L23" s="142"/>
      <c r="M23" s="142"/>
      <c r="N23" s="142"/>
      <c r="O23" s="142"/>
      <c r="P23" s="142"/>
    </row>
    <row r="24" spans="4:16" ht="12.75">
      <c r="D24" s="46" t="s">
        <v>74</v>
      </c>
      <c r="E24" s="42">
        <v>2</v>
      </c>
      <c r="F24" s="47" t="s">
        <v>240</v>
      </c>
      <c r="G24" s="52" t="s">
        <v>30</v>
      </c>
      <c r="H24" s="147" t="s">
        <v>249</v>
      </c>
      <c r="L24" s="142">
        <v>2048</v>
      </c>
      <c r="M24" s="142"/>
      <c r="N24" s="142"/>
      <c r="O24" s="142"/>
      <c r="P24" s="142"/>
    </row>
    <row r="25" spans="4:16" ht="12.75">
      <c r="D25" s="24" t="s">
        <v>55</v>
      </c>
      <c r="E25" s="48">
        <f>E23+E24</f>
        <v>9</v>
      </c>
      <c r="F25" s="48"/>
      <c r="G25" s="148">
        <f>G22*1000/E25</f>
        <v>227555.55555555556</v>
      </c>
      <c r="H25" s="146">
        <f>B15*24*30*F4/G25</f>
        <v>0.455625</v>
      </c>
      <c r="L25" s="142">
        <v>4096</v>
      </c>
      <c r="M25" s="142"/>
      <c r="N25" s="142"/>
      <c r="O25" s="142"/>
      <c r="P25" s="142"/>
    </row>
    <row r="26" spans="6:16" ht="12.75">
      <c r="F26" s="5"/>
      <c r="G26" s="5"/>
      <c r="H26" s="5"/>
      <c r="I26" s="5"/>
      <c r="J26" s="16"/>
      <c r="M26" s="142"/>
      <c r="N26" s="142"/>
      <c r="O26" s="142"/>
      <c r="P26" s="142"/>
    </row>
    <row r="27" spans="1:16" ht="12.75">
      <c r="A27" s="1" t="s">
        <v>75</v>
      </c>
      <c r="C27" s="25"/>
      <c r="D27" s="25"/>
      <c r="F27" s="5"/>
      <c r="G27" s="16"/>
      <c r="H27" s="16"/>
      <c r="I27" s="15"/>
      <c r="J27" s="16"/>
      <c r="L27" s="142"/>
      <c r="M27" s="142"/>
      <c r="N27" s="142"/>
      <c r="O27" s="142"/>
      <c r="P27" s="142"/>
    </row>
    <row r="28" spans="1:16" ht="12.75">
      <c r="A28" s="3"/>
      <c r="L28" s="142"/>
      <c r="M28" s="142"/>
      <c r="N28" s="142"/>
      <c r="O28" s="142"/>
      <c r="P28" s="142"/>
    </row>
    <row r="29" spans="1:16" ht="12.75">
      <c r="A29" s="26" t="s">
        <v>38</v>
      </c>
      <c r="B29" s="3"/>
      <c r="L29" s="142"/>
      <c r="M29" s="142"/>
      <c r="N29" s="142"/>
      <c r="O29" s="142"/>
      <c r="P29" s="142"/>
    </row>
    <row r="30" spans="1:16" ht="12.75">
      <c r="A30" s="37" t="s">
        <v>56</v>
      </c>
      <c r="B30" s="25"/>
      <c r="L30" s="142"/>
      <c r="M30" s="142"/>
      <c r="N30" s="142"/>
      <c r="O30" s="142"/>
      <c r="P30" s="142"/>
    </row>
    <row r="31" spans="1:16" s="25" customFormat="1" ht="12.75">
      <c r="A31" s="26" t="s">
        <v>39</v>
      </c>
      <c r="B31" s="3"/>
      <c r="C31" s="2"/>
      <c r="D31" s="2"/>
      <c r="G31" s="27"/>
      <c r="H31" s="27"/>
      <c r="I31" s="28"/>
      <c r="J31" s="27"/>
      <c r="L31" s="64"/>
      <c r="M31" s="64"/>
      <c r="N31" s="64"/>
      <c r="O31" s="64"/>
      <c r="P31" s="64"/>
    </row>
    <row r="32" spans="2:16" ht="12.75">
      <c r="B32" s="3"/>
      <c r="L32" s="142"/>
      <c r="M32" s="142"/>
      <c r="N32" s="142"/>
      <c r="O32" s="142"/>
      <c r="P32" s="142"/>
    </row>
    <row r="33" ht="12.75">
      <c r="B33" s="3"/>
    </row>
  </sheetData>
  <sheetProtection sheet="1" objects="1" scenarios="1" selectLockedCells="1"/>
  <dataValidations count="2">
    <dataValidation type="list" allowBlank="1" showInputMessage="1" showErrorMessage="1" sqref="G22">
      <formula1>$L$24:$L$25</formula1>
    </dataValidation>
    <dataValidation type="list" allowBlank="1" showInputMessage="1" showErrorMessage="1" sqref="E24">
      <formula1>$L$21:$L$22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J28"/>
  <sheetViews>
    <sheetView workbookViewId="0" topLeftCell="A1">
      <selection activeCell="E18" sqref="E18"/>
    </sheetView>
  </sheetViews>
  <sheetFormatPr defaultColWidth="9.140625" defaultRowHeight="12.75"/>
  <cols>
    <col min="1" max="1" width="22.28125" style="2" customWidth="1"/>
    <col min="2" max="2" width="11.421875" style="2" customWidth="1"/>
    <col min="3" max="3" width="19.57421875" style="2" customWidth="1"/>
    <col min="4" max="4" width="11.421875" style="2" customWidth="1"/>
    <col min="5" max="5" width="11.57421875" style="2" customWidth="1"/>
    <col min="6" max="6" width="14.421875" style="53" customWidth="1"/>
    <col min="7" max="7" width="19.28125" style="8" customWidth="1"/>
    <col min="8" max="8" width="13.8515625" style="10" customWidth="1"/>
    <col min="9" max="9" width="9.57421875" style="7" customWidth="1"/>
    <col min="10" max="16384" width="9.140625" style="2" customWidth="1"/>
  </cols>
  <sheetData>
    <row r="1" spans="1:8" ht="12.75">
      <c r="A1" s="12" t="s">
        <v>62</v>
      </c>
      <c r="D1" s="2" t="s">
        <v>76</v>
      </c>
      <c r="E1" s="29">
        <v>20</v>
      </c>
      <c r="F1" s="3" t="s">
        <v>37</v>
      </c>
      <c r="G1" s="2"/>
      <c r="H1" s="2"/>
    </row>
    <row r="2" spans="1:8" ht="12.75">
      <c r="A2" s="3" t="s">
        <v>34</v>
      </c>
      <c r="B2" s="5"/>
      <c r="D2" s="6" t="s">
        <v>36</v>
      </c>
      <c r="F2" s="38" t="s">
        <v>40</v>
      </c>
      <c r="G2" s="2"/>
      <c r="H2" s="2"/>
    </row>
    <row r="3" spans="1:8" ht="12.75">
      <c r="A3" s="78" t="s">
        <v>139</v>
      </c>
      <c r="B3" s="5"/>
      <c r="E3" s="38"/>
      <c r="G3" s="6"/>
      <c r="H3" s="2"/>
    </row>
    <row r="4" spans="2:8" ht="12.75">
      <c r="B4" s="5"/>
      <c r="E4" s="38"/>
      <c r="G4" s="6"/>
      <c r="H4" s="2"/>
    </row>
    <row r="5" spans="1:7" ht="12.75">
      <c r="A5" s="50" t="s">
        <v>77</v>
      </c>
      <c r="C5" s="6" t="s">
        <v>16</v>
      </c>
      <c r="F5" s="159" t="s">
        <v>253</v>
      </c>
      <c r="G5" s="160"/>
    </row>
    <row r="6" spans="3:7" s="3" customFormat="1" ht="12.75">
      <c r="C6" s="6" t="s">
        <v>15</v>
      </c>
      <c r="F6" s="125" t="s">
        <v>66</v>
      </c>
      <c r="G6" s="21" t="s">
        <v>67</v>
      </c>
    </row>
    <row r="7" spans="1:7" ht="12.75">
      <c r="A7" s="4">
        <v>0.015</v>
      </c>
      <c r="C7" s="29">
        <v>1.1</v>
      </c>
      <c r="F7" s="156">
        <f>((E1+20)/40)*C7/A7</f>
        <v>73.33333333333334</v>
      </c>
      <c r="G7" s="161">
        <f>F7/24</f>
        <v>3.055555555555556</v>
      </c>
    </row>
    <row r="8" spans="1:7" ht="12.75">
      <c r="A8" s="5" t="s">
        <v>68</v>
      </c>
      <c r="C8" s="1" t="s">
        <v>69</v>
      </c>
      <c r="E8" s="157"/>
      <c r="F8" s="157"/>
      <c r="G8" s="158"/>
    </row>
    <row r="9" spans="1:7" ht="12.75">
      <c r="A9" s="4" t="s">
        <v>70</v>
      </c>
      <c r="C9" s="1" t="s">
        <v>71</v>
      </c>
      <c r="F9" s="53" t="s">
        <v>78</v>
      </c>
      <c r="G9" s="8" t="s">
        <v>79</v>
      </c>
    </row>
    <row r="10" spans="3:8" ht="12.75">
      <c r="C10" s="4"/>
      <c r="D10" s="7"/>
      <c r="E10" s="10"/>
      <c r="F10" s="53" t="s">
        <v>80</v>
      </c>
      <c r="G10" s="8" t="s">
        <v>81</v>
      </c>
      <c r="H10" s="85" t="s">
        <v>254</v>
      </c>
    </row>
    <row r="11" spans="3:8" ht="12.75">
      <c r="C11" s="4"/>
      <c r="E11" s="2" t="s">
        <v>82</v>
      </c>
      <c r="F11" s="53">
        <v>0.8</v>
      </c>
      <c r="G11" s="54">
        <f>F7*3600/F11</f>
        <v>330000.00000000006</v>
      </c>
      <c r="H11" s="162">
        <f>G11/G19</f>
        <v>1.1279296875000002</v>
      </c>
    </row>
    <row r="12" spans="3:8" ht="12.75">
      <c r="C12" s="4"/>
      <c r="E12" s="2" t="s">
        <v>83</v>
      </c>
      <c r="F12" s="53">
        <v>1</v>
      </c>
      <c r="G12" s="54">
        <f>F7*3600/F12</f>
        <v>264000.00000000006</v>
      </c>
      <c r="H12" s="162">
        <f>G12/G19</f>
        <v>0.9023437500000002</v>
      </c>
    </row>
    <row r="13" spans="3:8" ht="12.75">
      <c r="C13" s="4"/>
      <c r="E13" s="2" t="s">
        <v>84</v>
      </c>
      <c r="F13" s="55">
        <v>1.25</v>
      </c>
      <c r="G13" s="54">
        <f>F7*3600/F13</f>
        <v>211200.00000000006</v>
      </c>
      <c r="H13" s="162">
        <f>G13/G19</f>
        <v>0.7218750000000002</v>
      </c>
    </row>
    <row r="14" spans="1:8" ht="12.75">
      <c r="A14"/>
      <c r="B14"/>
      <c r="C14"/>
      <c r="E14" s="2" t="s">
        <v>85</v>
      </c>
      <c r="F14" s="53">
        <v>1.5</v>
      </c>
      <c r="G14" s="54">
        <f>F7*3600/F14</f>
        <v>176000.00000000003</v>
      </c>
      <c r="H14" s="163">
        <f>G14/G19</f>
        <v>0.6015625000000001</v>
      </c>
    </row>
    <row r="15" spans="6:10" ht="12.75">
      <c r="F15" s="2"/>
      <c r="G15" s="2"/>
      <c r="H15" s="7"/>
      <c r="I15" s="2"/>
      <c r="J15" s="63">
        <v>2048</v>
      </c>
    </row>
    <row r="16" spans="4:10" ht="12.75">
      <c r="D16" s="85" t="s">
        <v>193</v>
      </c>
      <c r="E16" s="45"/>
      <c r="F16" s="72"/>
      <c r="G16" s="70" t="s">
        <v>133</v>
      </c>
      <c r="H16" s="7"/>
      <c r="I16" s="2"/>
      <c r="J16" s="63">
        <v>4096</v>
      </c>
    </row>
    <row r="17" spans="4:10" ht="12.75">
      <c r="D17" s="46" t="s">
        <v>73</v>
      </c>
      <c r="E17" s="5">
        <v>7</v>
      </c>
      <c r="F17" s="73" t="s">
        <v>134</v>
      </c>
      <c r="G17" s="67">
        <v>2048</v>
      </c>
      <c r="H17" s="7"/>
      <c r="I17" s="2"/>
      <c r="J17" s="63"/>
    </row>
    <row r="18" spans="4:10" ht="12.75">
      <c r="D18" s="24" t="s">
        <v>74</v>
      </c>
      <c r="E18" s="42">
        <v>0</v>
      </c>
      <c r="F18" s="75" t="s">
        <v>134</v>
      </c>
      <c r="G18" s="21" t="s">
        <v>252</v>
      </c>
      <c r="H18" s="7"/>
      <c r="I18" s="2"/>
      <c r="J18" s="63">
        <v>0</v>
      </c>
    </row>
    <row r="19" spans="4:10" ht="12.75">
      <c r="D19" s="24" t="s">
        <v>55</v>
      </c>
      <c r="E19" s="48">
        <f>E17+E18</f>
        <v>7</v>
      </c>
      <c r="F19" s="74" t="s">
        <v>134</v>
      </c>
      <c r="G19" s="71">
        <f>G17*1000/E19</f>
        <v>292571.4285714286</v>
      </c>
      <c r="H19"/>
      <c r="I19"/>
      <c r="J19" s="63">
        <v>2</v>
      </c>
    </row>
    <row r="20" spans="2:9" s="1" customFormat="1" ht="12.75">
      <c r="B20" s="2"/>
      <c r="C20" s="2"/>
      <c r="D20" s="2"/>
      <c r="E20"/>
      <c r="F20" s="56"/>
      <c r="G20" s="57"/>
      <c r="H20"/>
      <c r="I20"/>
    </row>
    <row r="21" spans="1:9" ht="12.75">
      <c r="A21" s="1" t="s">
        <v>86</v>
      </c>
      <c r="D21" s="1"/>
      <c r="E21"/>
      <c r="F21" s="56"/>
      <c r="G21" s="57"/>
      <c r="H21"/>
      <c r="I21"/>
    </row>
    <row r="22" spans="1:9" ht="12.75">
      <c r="A22" s="1"/>
      <c r="D22" s="1"/>
      <c r="E22"/>
      <c r="F22" s="56"/>
      <c r="G22" s="57"/>
      <c r="H22"/>
      <c r="I22"/>
    </row>
    <row r="23" spans="1:9" ht="12.75">
      <c r="A23" s="26" t="s">
        <v>38</v>
      </c>
      <c r="B23" s="25"/>
      <c r="C23" s="25"/>
      <c r="E23"/>
      <c r="F23" s="56"/>
      <c r="G23" s="57"/>
      <c r="H23" s="15"/>
      <c r="I23" s="16"/>
    </row>
    <row r="24" spans="1:7" ht="12.75">
      <c r="A24" s="37" t="s">
        <v>43</v>
      </c>
      <c r="B24" s="3"/>
      <c r="E24" s="5"/>
      <c r="F24" s="58"/>
      <c r="G24" s="59"/>
    </row>
    <row r="25" ht="12.75">
      <c r="A25" s="26" t="s">
        <v>39</v>
      </c>
    </row>
    <row r="26" ht="12.75">
      <c r="A26" s="26"/>
    </row>
    <row r="27" spans="2:9" s="25" customFormat="1" ht="12.75">
      <c r="B27" s="2"/>
      <c r="C27" s="2"/>
      <c r="D27" s="2"/>
      <c r="E27" s="2"/>
      <c r="F27" s="53"/>
      <c r="G27" s="8"/>
      <c r="H27" s="28"/>
      <c r="I27" s="27"/>
    </row>
    <row r="28" spans="4:7" ht="12.75">
      <c r="D28" s="25"/>
      <c r="E28" s="25"/>
      <c r="F28" s="60"/>
      <c r="G28" s="61"/>
    </row>
  </sheetData>
  <sheetProtection sheet="1" objects="1" scenarios="1" selectLockedCells="1"/>
  <dataValidations count="2">
    <dataValidation type="list" allowBlank="1" showInputMessage="1" showErrorMessage="1" sqref="G17">
      <formula1>$J$15:$J$16</formula1>
    </dataValidation>
    <dataValidation type="list" allowBlank="1" showInputMessage="1" showErrorMessage="1" sqref="E18">
      <formula1>$J$18:$J$19</formula1>
    </dataValidation>
  </dataValidations>
  <hyperlinks>
    <hyperlink ref="A3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J31"/>
  <sheetViews>
    <sheetView workbookViewId="0" topLeftCell="A1">
      <selection activeCell="C2" sqref="C2"/>
    </sheetView>
  </sheetViews>
  <sheetFormatPr defaultColWidth="9.140625" defaultRowHeight="12.75"/>
  <cols>
    <col min="1" max="1" width="15.57421875" style="2" customWidth="1"/>
    <col min="2" max="2" width="21.00390625" style="2" customWidth="1"/>
    <col min="3" max="3" width="19.57421875" style="2" customWidth="1"/>
    <col min="4" max="4" width="15.28125" style="2" customWidth="1"/>
    <col min="5" max="5" width="19.7109375" style="2" customWidth="1"/>
    <col min="6" max="6" width="14.28125" style="2" customWidth="1"/>
    <col min="7" max="7" width="8.140625" style="7" customWidth="1"/>
    <col min="8" max="8" width="6.140625" style="7" customWidth="1"/>
    <col min="9" max="9" width="6.2812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104</v>
      </c>
      <c r="C1" s="3" t="s">
        <v>34</v>
      </c>
      <c r="F1" s="39"/>
      <c r="G1" s="3"/>
      <c r="H1" s="2"/>
      <c r="I1" s="2"/>
      <c r="J1" s="2"/>
    </row>
    <row r="2" spans="1:10" ht="12.75">
      <c r="A2" s="12"/>
      <c r="C2" s="78" t="s">
        <v>139</v>
      </c>
      <c r="F2" s="39"/>
      <c r="G2" s="3"/>
      <c r="H2" s="2"/>
      <c r="I2" s="2"/>
      <c r="J2" s="2"/>
    </row>
    <row r="3" spans="1:10" ht="12.75">
      <c r="A3" s="26" t="s">
        <v>129</v>
      </c>
      <c r="B3" s="5"/>
      <c r="C3" s="5"/>
      <c r="E3" s="6"/>
      <c r="G3" s="38"/>
      <c r="H3" s="2"/>
      <c r="I3" s="2"/>
      <c r="J3" s="2"/>
    </row>
    <row r="4" spans="6:10" s="3" customFormat="1" ht="12.75">
      <c r="F4" s="6" t="s">
        <v>15</v>
      </c>
      <c r="G4" s="7" t="s">
        <v>18</v>
      </c>
      <c r="H4" s="7" t="s">
        <v>17</v>
      </c>
      <c r="I4" s="10" t="s">
        <v>19</v>
      </c>
      <c r="J4" s="7"/>
    </row>
    <row r="5" spans="1:10" ht="12.75">
      <c r="A5" s="2">
        <v>0.01</v>
      </c>
      <c r="B5" s="67">
        <v>210</v>
      </c>
      <c r="C5" s="4">
        <f>A5*B5</f>
        <v>2.1</v>
      </c>
      <c r="D5" s="29">
        <v>1</v>
      </c>
      <c r="E5" s="4">
        <f>(C5*D5)+(C11*D11)+C16</f>
        <v>2.46</v>
      </c>
      <c r="F5" s="29">
        <v>5</v>
      </c>
      <c r="G5" s="32">
        <f>F5*3600/E5</f>
        <v>7317.073170731707</v>
      </c>
      <c r="H5" s="33">
        <f>G5/24</f>
        <v>304.8780487804878</v>
      </c>
      <c r="I5" s="34">
        <f>H5/365</f>
        <v>0.835282325425994</v>
      </c>
      <c r="J5" s="32">
        <f>G5*D5</f>
        <v>7317.073170731707</v>
      </c>
    </row>
    <row r="6" spans="1:10" ht="12.75">
      <c r="A6" s="2" t="s">
        <v>2</v>
      </c>
      <c r="B6" s="57" t="s">
        <v>122</v>
      </c>
      <c r="C6" s="5" t="s">
        <v>4</v>
      </c>
      <c r="D6" s="2" t="s">
        <v>6</v>
      </c>
      <c r="E6" s="5" t="s">
        <v>7</v>
      </c>
      <c r="F6" s="3" t="s">
        <v>50</v>
      </c>
      <c r="G6" s="17"/>
      <c r="J6" s="17"/>
    </row>
    <row r="7" spans="2:10" ht="12.75">
      <c r="B7" s="57" t="s">
        <v>123</v>
      </c>
      <c r="C7" s="4"/>
      <c r="D7" s="2">
        <f>60/D5</f>
        <v>60</v>
      </c>
      <c r="E7" s="3" t="s">
        <v>131</v>
      </c>
      <c r="G7" s="17"/>
      <c r="J7" s="17"/>
    </row>
    <row r="8" spans="2:10" ht="12.75">
      <c r="B8" s="57"/>
      <c r="C8" s="4"/>
      <c r="E8" s="3"/>
      <c r="G8" s="17"/>
      <c r="J8" s="17"/>
    </row>
    <row r="9" spans="1:10" ht="12.75">
      <c r="A9" s="26" t="s">
        <v>132</v>
      </c>
      <c r="B9" s="57"/>
      <c r="C9" s="4"/>
      <c r="E9" s="3"/>
      <c r="G9" s="17"/>
      <c r="J9" s="17"/>
    </row>
    <row r="10" spans="2:10" ht="12.75">
      <c r="B10" s="57"/>
      <c r="C10" s="4"/>
      <c r="E10" s="3"/>
      <c r="G10" s="17"/>
      <c r="J10" s="17"/>
    </row>
    <row r="11" spans="1:10" ht="12.75">
      <c r="A11" s="67">
        <v>0</v>
      </c>
      <c r="B11" s="67">
        <v>5</v>
      </c>
      <c r="C11" s="4">
        <f>A11*B11</f>
        <v>0</v>
      </c>
      <c r="D11" s="29">
        <v>1</v>
      </c>
      <c r="E11" s="3"/>
      <c r="G11" s="17"/>
      <c r="J11" s="17"/>
    </row>
    <row r="12" spans="1:10" ht="12.75">
      <c r="A12" s="2" t="s">
        <v>2</v>
      </c>
      <c r="B12" s="57" t="s">
        <v>130</v>
      </c>
      <c r="C12" s="5" t="s">
        <v>4</v>
      </c>
      <c r="D12" s="2" t="s">
        <v>6</v>
      </c>
      <c r="E12" s="3"/>
      <c r="G12" s="17"/>
      <c r="J12" s="17"/>
    </row>
    <row r="13" spans="2:10" ht="12.75">
      <c r="B13" s="57"/>
      <c r="C13" s="4"/>
      <c r="D13" s="2">
        <f>60/D11</f>
        <v>60</v>
      </c>
      <c r="E13" s="3" t="s">
        <v>131</v>
      </c>
      <c r="G13" s="17"/>
      <c r="J13" s="17"/>
    </row>
    <row r="14" spans="1:10" ht="12.75">
      <c r="A14"/>
      <c r="B14"/>
      <c r="C14"/>
      <c r="D14"/>
      <c r="E14"/>
      <c r="G14" s="2"/>
      <c r="H14" s="2"/>
      <c r="I14" s="2"/>
      <c r="J14" s="2"/>
    </row>
    <row r="15" spans="1:10" ht="12.75">
      <c r="A15" s="1" t="s">
        <v>0</v>
      </c>
      <c r="B15"/>
      <c r="C15" s="1"/>
      <c r="D15" s="1"/>
      <c r="G15" s="2"/>
      <c r="H15" s="2"/>
      <c r="I15" s="2"/>
      <c r="J15" s="2"/>
    </row>
    <row r="16" spans="1:10" ht="12.75">
      <c r="A16" s="2">
        <v>0.0001</v>
      </c>
      <c r="B16" s="2">
        <v>3600</v>
      </c>
      <c r="C16" s="2">
        <f>A16*B16</f>
        <v>0.36000000000000004</v>
      </c>
      <c r="G16" s="2"/>
      <c r="H16" s="2"/>
      <c r="I16" s="2"/>
      <c r="J16" s="2"/>
    </row>
    <row r="17" spans="1:10" ht="12.75">
      <c r="A17" s="5" t="s">
        <v>2</v>
      </c>
      <c r="B17" s="5" t="s">
        <v>5</v>
      </c>
      <c r="C17" s="5" t="s">
        <v>4</v>
      </c>
      <c r="G17" s="2"/>
      <c r="H17" s="2"/>
      <c r="I17" s="2"/>
      <c r="J17" s="2"/>
    </row>
    <row r="18" spans="2:10" ht="12.75">
      <c r="B18" s="1"/>
      <c r="G18" s="2"/>
      <c r="H18" s="2"/>
      <c r="I18" s="2"/>
      <c r="J18" s="2"/>
    </row>
    <row r="19" spans="1:10" ht="12.75">
      <c r="A19" s="1" t="s">
        <v>105</v>
      </c>
      <c r="G19" s="2"/>
      <c r="H19" s="2"/>
      <c r="I19" s="2"/>
      <c r="J19" s="2"/>
    </row>
    <row r="20" spans="1:10" ht="12.75">
      <c r="A20" s="3"/>
      <c r="G20" s="2"/>
      <c r="H20" s="2"/>
      <c r="I20" s="2"/>
      <c r="J20" s="2"/>
    </row>
    <row r="21" spans="1:10" ht="12.75">
      <c r="A21" s="26" t="s">
        <v>38</v>
      </c>
      <c r="C21" s="25"/>
      <c r="D21" s="25"/>
      <c r="F21" s="5"/>
      <c r="G21" s="16"/>
      <c r="H21" s="16"/>
      <c r="I21" s="15"/>
      <c r="J21" s="16"/>
    </row>
    <row r="22" ht="12.75">
      <c r="A22" s="37" t="s">
        <v>56</v>
      </c>
    </row>
    <row r="23" spans="1:2" ht="12.75">
      <c r="A23" s="26" t="s">
        <v>39</v>
      </c>
      <c r="B23" s="3"/>
    </row>
    <row r="24" spans="1:2" ht="12.75">
      <c r="A24" s="26"/>
      <c r="B24" s="25"/>
    </row>
    <row r="25" spans="1:10" s="25" customFormat="1" ht="12.75">
      <c r="A25" s="26"/>
      <c r="B25" s="3"/>
      <c r="C25" s="2"/>
      <c r="D25" s="2"/>
      <c r="G25" s="27"/>
      <c r="H25" s="27"/>
      <c r="I25" s="28"/>
      <c r="J25" s="27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 sheet="1" objects="1" scenarios="1" selectLockedCells="1"/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5"/>
  </sheetPr>
  <dimension ref="A1:M31"/>
  <sheetViews>
    <sheetView workbookViewId="0" topLeftCell="A1">
      <selection activeCell="H15" sqref="H15"/>
    </sheetView>
  </sheetViews>
  <sheetFormatPr defaultColWidth="9.140625" defaultRowHeight="12.75"/>
  <cols>
    <col min="1" max="1" width="15.57421875" style="2" customWidth="1"/>
    <col min="2" max="2" width="20.8515625" style="2" customWidth="1"/>
    <col min="3" max="3" width="18.421875" style="2" customWidth="1"/>
    <col min="4" max="4" width="15.28125" style="2" customWidth="1"/>
    <col min="5" max="5" width="18.28125" style="2" customWidth="1"/>
    <col min="6" max="6" width="14.28125" style="2" customWidth="1"/>
    <col min="7" max="7" width="9.57421875" style="7" customWidth="1"/>
    <col min="8" max="8" width="8.28125" style="7" customWidth="1"/>
    <col min="9" max="9" width="9.14062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106</v>
      </c>
      <c r="C1" s="35" t="s">
        <v>35</v>
      </c>
      <c r="E1" s="2" t="s">
        <v>41</v>
      </c>
      <c r="F1" s="29">
        <v>20</v>
      </c>
      <c r="G1" s="3" t="s">
        <v>37</v>
      </c>
      <c r="H1" s="2"/>
      <c r="I1" s="2"/>
      <c r="J1" s="2"/>
    </row>
    <row r="2" spans="1:10" ht="12.75">
      <c r="A2" s="3" t="s">
        <v>34</v>
      </c>
      <c r="B2" s="5"/>
      <c r="C2" s="78" t="s">
        <v>139</v>
      </c>
      <c r="E2" s="6" t="s">
        <v>36</v>
      </c>
      <c r="G2" s="38" t="s">
        <v>40</v>
      </c>
      <c r="H2" s="2"/>
      <c r="I2" s="2"/>
      <c r="J2" s="2"/>
    </row>
    <row r="3" spans="1:10" ht="12.75">
      <c r="A3" s="3"/>
      <c r="B3" s="5"/>
      <c r="C3" s="81"/>
      <c r="E3" s="6"/>
      <c r="G3" s="38"/>
      <c r="H3" s="2"/>
      <c r="I3" s="2"/>
      <c r="J3" s="2"/>
    </row>
    <row r="4" spans="1:10" ht="12.75">
      <c r="A4" s="3"/>
      <c r="B4" s="5"/>
      <c r="C4" s="81"/>
      <c r="E4" s="6"/>
      <c r="F4" s="82"/>
      <c r="G4" s="51" t="s">
        <v>176</v>
      </c>
      <c r="H4" s="83">
        <v>6</v>
      </c>
      <c r="I4" s="84" t="s">
        <v>177</v>
      </c>
      <c r="J4" s="82"/>
    </row>
    <row r="5" spans="6:10" ht="12.75">
      <c r="F5" s="5"/>
      <c r="G5" s="16"/>
      <c r="H5" s="16"/>
      <c r="I5" s="15"/>
      <c r="J5" s="16"/>
    </row>
    <row r="6" spans="1:10" ht="12.75">
      <c r="A6" s="3" t="s">
        <v>107</v>
      </c>
      <c r="D6" s="6"/>
      <c r="F6" s="85" t="s">
        <v>179</v>
      </c>
      <c r="G6" s="86" t="s">
        <v>180</v>
      </c>
      <c r="H6" s="87"/>
      <c r="I6" s="87" t="s">
        <v>20</v>
      </c>
      <c r="J6" s="88" t="s">
        <v>181</v>
      </c>
    </row>
    <row r="7" spans="6:10" s="3" customFormat="1" ht="12.75">
      <c r="F7" s="89" t="s">
        <v>15</v>
      </c>
      <c r="G7" s="16" t="s">
        <v>183</v>
      </c>
      <c r="H7" s="16" t="s">
        <v>184</v>
      </c>
      <c r="I7" s="16"/>
      <c r="J7" s="90"/>
    </row>
    <row r="8" spans="1:10" ht="12.75">
      <c r="A8" s="2">
        <v>0.13</v>
      </c>
      <c r="B8" s="29">
        <v>5</v>
      </c>
      <c r="C8" s="4">
        <f>(A8+(B18/1000))*B8</f>
        <v>0.65</v>
      </c>
      <c r="D8" s="29">
        <v>5</v>
      </c>
      <c r="E8" s="4">
        <f>C8*D8+C21</f>
        <v>3.43</v>
      </c>
      <c r="F8" s="29">
        <v>12.2</v>
      </c>
      <c r="G8" s="92">
        <f>((F1+20)/40)*F8*150/E8</f>
        <v>533.5276967930029</v>
      </c>
      <c r="H8" s="93">
        <f>G8/30</f>
        <v>17.784256559766764</v>
      </c>
      <c r="I8" s="92">
        <f>G8*D8*24</f>
        <v>64023.32361516035</v>
      </c>
      <c r="J8" s="94">
        <f>D8*H4*24*30/I8</f>
        <v>0.33737704918032785</v>
      </c>
    </row>
    <row r="9" spans="1:10" ht="12.75">
      <c r="A9" s="2" t="s">
        <v>2</v>
      </c>
      <c r="B9" s="2" t="s">
        <v>3</v>
      </c>
      <c r="C9" s="5" t="s">
        <v>4</v>
      </c>
      <c r="D9" s="2" t="s">
        <v>6</v>
      </c>
      <c r="E9" s="5" t="s">
        <v>7</v>
      </c>
      <c r="F9" s="95" t="s">
        <v>186</v>
      </c>
      <c r="G9" s="96"/>
      <c r="H9" s="16"/>
      <c r="I9" s="15"/>
      <c r="J9" s="97"/>
    </row>
    <row r="10" spans="3:10" ht="12.75">
      <c r="C10" s="4"/>
      <c r="E10" s="2" t="s">
        <v>32</v>
      </c>
      <c r="F10" s="99" t="s">
        <v>188</v>
      </c>
      <c r="G10" s="100"/>
      <c r="H10" s="13"/>
      <c r="I10" s="14"/>
      <c r="J10" s="101"/>
    </row>
    <row r="11" spans="3:5" ht="12.75">
      <c r="C11" s="4"/>
      <c r="D11" s="2">
        <f>60/D8</f>
        <v>12</v>
      </c>
      <c r="E11" s="3" t="s">
        <v>190</v>
      </c>
    </row>
    <row r="12" spans="2:10" s="3" customFormat="1" ht="12.75">
      <c r="B12" s="2"/>
      <c r="C12" s="2"/>
      <c r="D12" s="103">
        <f>3600/D8</f>
        <v>720</v>
      </c>
      <c r="E12" s="3" t="s">
        <v>191</v>
      </c>
      <c r="G12" s="9"/>
      <c r="H12" s="9"/>
      <c r="I12" s="11"/>
      <c r="J12" s="9"/>
    </row>
    <row r="13" spans="1:10" s="3" customFormat="1" ht="12.75">
      <c r="A13" s="2" t="s">
        <v>9</v>
      </c>
      <c r="B13" s="2"/>
      <c r="C13" s="2"/>
      <c r="D13" s="117"/>
      <c r="G13" s="9"/>
      <c r="H13" s="9"/>
      <c r="I13" s="11"/>
      <c r="J13" s="9"/>
    </row>
    <row r="14" spans="1:13" ht="12.75">
      <c r="A14" s="2" t="s">
        <v>14</v>
      </c>
      <c r="B14" s="29">
        <v>0</v>
      </c>
      <c r="C14" s="3" t="s">
        <v>194</v>
      </c>
      <c r="E14" s="4"/>
      <c r="F14" s="119" t="s">
        <v>193</v>
      </c>
      <c r="G14" s="87" t="s">
        <v>33</v>
      </c>
      <c r="H14" s="87"/>
      <c r="I14" s="87" t="s">
        <v>112</v>
      </c>
      <c r="J14" s="88" t="s">
        <v>181</v>
      </c>
      <c r="M14" s="63">
        <v>64</v>
      </c>
    </row>
    <row r="15" spans="1:13" ht="12.75">
      <c r="A15" s="2" t="s">
        <v>10</v>
      </c>
      <c r="B15" s="29">
        <v>0</v>
      </c>
      <c r="C15" s="2" t="s">
        <v>224</v>
      </c>
      <c r="E15" s="5"/>
      <c r="F15" s="20" t="s">
        <v>22</v>
      </c>
      <c r="G15" s="59">
        <v>4</v>
      </c>
      <c r="H15" s="30">
        <v>4</v>
      </c>
      <c r="I15" s="68">
        <v>128</v>
      </c>
      <c r="J15" s="90"/>
      <c r="M15" s="63">
        <v>128</v>
      </c>
    </row>
    <row r="16" spans="1:13" ht="12.75">
      <c r="A16" s="2" t="s">
        <v>11</v>
      </c>
      <c r="B16" s="29">
        <v>0</v>
      </c>
      <c r="F16" s="20" t="s">
        <v>108</v>
      </c>
      <c r="G16" s="59">
        <v>3</v>
      </c>
      <c r="H16" s="30">
        <v>0</v>
      </c>
      <c r="I16" s="16" t="s">
        <v>29</v>
      </c>
      <c r="J16" s="21"/>
      <c r="M16" s="63">
        <v>256</v>
      </c>
    </row>
    <row r="17" spans="1:13" ht="12.75">
      <c r="A17" s="2" t="s">
        <v>12</v>
      </c>
      <c r="B17" s="29">
        <v>0</v>
      </c>
      <c r="F17" s="20" t="s">
        <v>109</v>
      </c>
      <c r="G17" s="59">
        <v>3</v>
      </c>
      <c r="H17" s="30">
        <v>0</v>
      </c>
      <c r="I17" s="16" t="s">
        <v>30</v>
      </c>
      <c r="J17" s="97"/>
      <c r="M17" s="63">
        <v>512</v>
      </c>
    </row>
    <row r="18" spans="1:13" ht="12.75">
      <c r="A18" s="2" t="s">
        <v>13</v>
      </c>
      <c r="B18" s="103">
        <f>SUM(B14:B17)</f>
        <v>0</v>
      </c>
      <c r="C18" s="3" t="s">
        <v>31</v>
      </c>
      <c r="F18" s="120"/>
      <c r="G18" s="121" t="s">
        <v>28</v>
      </c>
      <c r="H18" s="13">
        <f>SUM(H15:H17)</f>
        <v>4</v>
      </c>
      <c r="I18" s="122">
        <f>I15*1000/H18</f>
        <v>32000</v>
      </c>
      <c r="J18" s="111">
        <f>D8*H4*24*30/I18</f>
        <v>0.675</v>
      </c>
      <c r="M18" s="63">
        <v>1024</v>
      </c>
    </row>
    <row r="19" spans="6:13" ht="12.75">
      <c r="F19" s="5"/>
      <c r="G19" s="16"/>
      <c r="H19" s="16"/>
      <c r="I19" s="15"/>
      <c r="J19" s="16"/>
      <c r="M19" s="63">
        <v>2048</v>
      </c>
    </row>
    <row r="20" spans="1:13" ht="12.75">
      <c r="A20" s="1" t="s">
        <v>0</v>
      </c>
      <c r="B20" s="1"/>
      <c r="C20" s="1"/>
      <c r="D20" s="1"/>
      <c r="I20" s="15"/>
      <c r="J20" s="16"/>
      <c r="M20" s="63">
        <v>4096</v>
      </c>
    </row>
    <row r="21" spans="1:13" ht="12.75">
      <c r="A21" s="2">
        <v>5E-05</v>
      </c>
      <c r="B21" s="2">
        <v>3600</v>
      </c>
      <c r="C21" s="2">
        <f>A21*B21</f>
        <v>0.18000000000000002</v>
      </c>
      <c r="I21" s="15"/>
      <c r="J21" s="16"/>
      <c r="M21" s="63">
        <v>8192</v>
      </c>
    </row>
    <row r="22" spans="1:3" ht="12.75">
      <c r="A22" s="5" t="s">
        <v>2</v>
      </c>
      <c r="B22" s="5" t="s">
        <v>5</v>
      </c>
      <c r="C22" s="5" t="s">
        <v>4</v>
      </c>
    </row>
    <row r="23" spans="6:8" ht="12.75">
      <c r="F23" s="25"/>
      <c r="G23" s="27"/>
      <c r="H23" s="27"/>
    </row>
    <row r="24" spans="1:10" s="1" customFormat="1" ht="12.75">
      <c r="A24" s="1" t="s">
        <v>226</v>
      </c>
      <c r="B24" s="2"/>
      <c r="C24" s="2"/>
      <c r="D24" s="2"/>
      <c r="F24" s="2"/>
      <c r="G24" s="7"/>
      <c r="H24" s="7"/>
      <c r="I24" s="10"/>
      <c r="J24" s="7"/>
    </row>
    <row r="25" spans="1:10" s="1" customFormat="1" ht="12.75">
      <c r="A25" s="26" t="s">
        <v>38</v>
      </c>
      <c r="B25" s="2"/>
      <c r="C25" s="2"/>
      <c r="D25" s="2"/>
      <c r="F25" s="2"/>
      <c r="G25" s="7"/>
      <c r="H25" s="7"/>
      <c r="I25" s="10"/>
      <c r="J25" s="7"/>
    </row>
    <row r="26" spans="1:10" ht="12.75">
      <c r="A26" s="37" t="s">
        <v>43</v>
      </c>
      <c r="I26" s="28"/>
      <c r="J26" s="27"/>
    </row>
    <row r="27" spans="1:4" ht="12.75">
      <c r="A27" s="26" t="s">
        <v>39</v>
      </c>
      <c r="B27" s="25"/>
      <c r="C27" s="25"/>
      <c r="D27" s="25"/>
    </row>
    <row r="28" spans="1:2" ht="12.75">
      <c r="A28" s="26" t="s">
        <v>225</v>
      </c>
      <c r="B28" s="3"/>
    </row>
    <row r="29" ht="12.75">
      <c r="A29" s="26"/>
    </row>
    <row r="30" ht="12.75">
      <c r="A30" s="26"/>
    </row>
    <row r="31" spans="2:10" s="25" customFormat="1" ht="12.75">
      <c r="B31" s="2"/>
      <c r="C31" s="2"/>
      <c r="D31" s="2"/>
      <c r="F31" s="2"/>
      <c r="G31" s="7"/>
      <c r="H31" s="7"/>
      <c r="I31" s="10"/>
      <c r="J31" s="7"/>
    </row>
  </sheetData>
  <sheetProtection sheet="1" objects="1" scenarios="1" selectLockedCells="1"/>
  <dataValidations count="1">
    <dataValidation type="list" allowBlank="1" showInputMessage="1" showErrorMessage="1" sqref="I15">
      <formula1>$M$14:$M$21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5"/>
  </sheetPr>
  <dimension ref="A1:N37"/>
  <sheetViews>
    <sheetView workbookViewId="0" topLeftCell="A1">
      <selection activeCell="F1" sqref="F1"/>
    </sheetView>
  </sheetViews>
  <sheetFormatPr defaultColWidth="9.140625" defaultRowHeight="12.75"/>
  <cols>
    <col min="1" max="1" width="15.57421875" style="2" customWidth="1"/>
    <col min="2" max="2" width="20.8515625" style="2" customWidth="1"/>
    <col min="3" max="3" width="17.140625" style="2" customWidth="1"/>
    <col min="4" max="4" width="15.28125" style="2" customWidth="1"/>
    <col min="5" max="5" width="19.7109375" style="2" customWidth="1"/>
    <col min="6" max="6" width="14.28125" style="2" customWidth="1"/>
    <col min="7" max="7" width="8.28125" style="7" customWidth="1"/>
    <col min="8" max="8" width="7.57421875" style="7" customWidth="1"/>
    <col min="9" max="9" width="9.71093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106</v>
      </c>
      <c r="C1" s="35" t="s">
        <v>42</v>
      </c>
      <c r="E1" s="2" t="s">
        <v>41</v>
      </c>
      <c r="F1" s="29">
        <v>20</v>
      </c>
      <c r="G1" s="3" t="s">
        <v>37</v>
      </c>
      <c r="H1" s="2"/>
      <c r="I1" s="2"/>
      <c r="J1" s="2"/>
    </row>
    <row r="2" spans="1:10" ht="12.75">
      <c r="A2" s="3" t="s">
        <v>34</v>
      </c>
      <c r="B2" s="5"/>
      <c r="C2" s="78" t="s">
        <v>139</v>
      </c>
      <c r="E2" s="6" t="s">
        <v>36</v>
      </c>
      <c r="G2" s="38" t="s">
        <v>40</v>
      </c>
      <c r="H2" s="2"/>
      <c r="I2" s="2"/>
      <c r="J2" s="2"/>
    </row>
    <row r="3" spans="1:10" ht="12.75">
      <c r="A3" s="3"/>
      <c r="B3" s="5"/>
      <c r="C3" s="81"/>
      <c r="E3" s="6"/>
      <c r="G3" s="38"/>
      <c r="H3" s="2"/>
      <c r="I3" s="2"/>
      <c r="J3" s="2"/>
    </row>
    <row r="4" spans="1:10" ht="12.75">
      <c r="A4" s="3"/>
      <c r="B4" s="5"/>
      <c r="C4" s="81"/>
      <c r="E4" s="6"/>
      <c r="F4" s="82"/>
      <c r="G4" s="51" t="s">
        <v>176</v>
      </c>
      <c r="H4" s="83">
        <v>3</v>
      </c>
      <c r="I4" s="84" t="s">
        <v>177</v>
      </c>
      <c r="J4" s="82"/>
    </row>
    <row r="5" spans="6:10" ht="12.75">
      <c r="F5" s="5"/>
      <c r="G5" s="16"/>
      <c r="H5" s="16"/>
      <c r="I5" s="15"/>
      <c r="J5" s="16"/>
    </row>
    <row r="6" spans="1:10" ht="12.75">
      <c r="A6" s="3" t="s">
        <v>107</v>
      </c>
      <c r="D6" s="6"/>
      <c r="F6" s="85" t="s">
        <v>179</v>
      </c>
      <c r="G6" s="86" t="s">
        <v>180</v>
      </c>
      <c r="H6" s="87"/>
      <c r="I6" s="87" t="s">
        <v>20</v>
      </c>
      <c r="J6" s="88" t="s">
        <v>181</v>
      </c>
    </row>
    <row r="7" spans="1:10" s="3" customFormat="1" ht="12.75">
      <c r="A7" s="3" t="s">
        <v>116</v>
      </c>
      <c r="F7" s="89" t="s">
        <v>15</v>
      </c>
      <c r="G7" s="16" t="s">
        <v>183</v>
      </c>
      <c r="H7" s="16" t="s">
        <v>184</v>
      </c>
      <c r="I7" s="16"/>
      <c r="J7" s="90"/>
    </row>
    <row r="8" spans="1:10" ht="12.75">
      <c r="A8" s="2">
        <v>0.18</v>
      </c>
      <c r="B8" s="29">
        <v>5</v>
      </c>
      <c r="C8" s="4">
        <f>(A8+(B25/1000))*B8</f>
        <v>0.8999999999999999</v>
      </c>
      <c r="D8" s="29">
        <v>10</v>
      </c>
      <c r="E8" s="4">
        <f>C8*D8+C28</f>
        <v>9.18</v>
      </c>
      <c r="F8" s="29">
        <v>12.2</v>
      </c>
      <c r="G8" s="92">
        <f>((F1+20)/40)*F8*150/E8</f>
        <v>199.3464052287582</v>
      </c>
      <c r="H8" s="93">
        <f>G8/30</f>
        <v>6.64488017429194</v>
      </c>
      <c r="I8" s="92">
        <f>G8*D8*24</f>
        <v>47843.137254901965</v>
      </c>
      <c r="J8" s="94">
        <f>D8*H4*24*30/I8</f>
        <v>0.45147540983606554</v>
      </c>
    </row>
    <row r="9" spans="1:10" ht="12.75">
      <c r="A9" s="2" t="s">
        <v>2</v>
      </c>
      <c r="B9" s="2" t="s">
        <v>3</v>
      </c>
      <c r="C9" s="5" t="s">
        <v>4</v>
      </c>
      <c r="D9" s="2" t="s">
        <v>6</v>
      </c>
      <c r="E9" s="5" t="s">
        <v>7</v>
      </c>
      <c r="F9" s="95" t="s">
        <v>186</v>
      </c>
      <c r="G9" s="96"/>
      <c r="H9" s="16"/>
      <c r="I9" s="15"/>
      <c r="J9" s="97"/>
    </row>
    <row r="10" spans="3:10" ht="12.75">
      <c r="C10" s="4"/>
      <c r="E10" s="2" t="s">
        <v>32</v>
      </c>
      <c r="F10" s="99" t="s">
        <v>188</v>
      </c>
      <c r="G10" s="100"/>
      <c r="H10" s="13"/>
      <c r="I10" s="14"/>
      <c r="J10" s="101"/>
    </row>
    <row r="11" spans="3:10" ht="12.75">
      <c r="C11" s="4"/>
      <c r="D11" s="2">
        <f>60/D8</f>
        <v>6</v>
      </c>
      <c r="E11" s="3" t="s">
        <v>190</v>
      </c>
      <c r="G11" s="17"/>
      <c r="J11" s="17"/>
    </row>
    <row r="12" spans="3:10" ht="12.75">
      <c r="C12" s="4"/>
      <c r="D12" s="103">
        <f>3600/D8</f>
        <v>360</v>
      </c>
      <c r="E12" s="3" t="s">
        <v>191</v>
      </c>
      <c r="G12" s="17"/>
      <c r="J12" s="17"/>
    </row>
    <row r="13" spans="1:10" ht="12.75">
      <c r="A13" s="3" t="s">
        <v>118</v>
      </c>
      <c r="F13" s="85" t="s">
        <v>179</v>
      </c>
      <c r="G13" s="86" t="s">
        <v>180</v>
      </c>
      <c r="H13" s="87"/>
      <c r="I13" s="87" t="s">
        <v>20</v>
      </c>
      <c r="J13" s="88" t="s">
        <v>181</v>
      </c>
    </row>
    <row r="14" spans="1:10" s="3" customFormat="1" ht="12.75">
      <c r="A14" s="3" t="s">
        <v>117</v>
      </c>
      <c r="F14" s="89" t="s">
        <v>15</v>
      </c>
      <c r="G14" s="16" t="s">
        <v>183</v>
      </c>
      <c r="H14" s="16" t="s">
        <v>184</v>
      </c>
      <c r="I14" s="16"/>
      <c r="J14" s="90"/>
    </row>
    <row r="15" spans="1:10" ht="12.75">
      <c r="A15" s="2">
        <v>0.245</v>
      </c>
      <c r="B15" s="29">
        <v>6.7</v>
      </c>
      <c r="C15" s="4">
        <f>(A15+(B25/1000))*B15</f>
        <v>1.6415</v>
      </c>
      <c r="D15" s="29">
        <v>15</v>
      </c>
      <c r="E15" s="4">
        <f>C15*D15+C28</f>
        <v>24.8025</v>
      </c>
      <c r="F15" s="29">
        <v>12.2</v>
      </c>
      <c r="G15" s="92">
        <f>((F1+20)/40)*F15*150/E15</f>
        <v>73.78288478983974</v>
      </c>
      <c r="H15" s="93">
        <f>G15/30</f>
        <v>2.459429492994658</v>
      </c>
      <c r="I15" s="92">
        <f>G15*D15*24</f>
        <v>26561.838524342307</v>
      </c>
      <c r="J15" s="94">
        <f>D15*H4*24*30/I15</f>
        <v>1.219795081967213</v>
      </c>
    </row>
    <row r="16" spans="1:14" ht="12.75">
      <c r="A16" s="2" t="s">
        <v>2</v>
      </c>
      <c r="B16" s="2" t="s">
        <v>3</v>
      </c>
      <c r="C16" s="5" t="s">
        <v>4</v>
      </c>
      <c r="D16" s="2" t="s">
        <v>6</v>
      </c>
      <c r="E16" s="5" t="s">
        <v>7</v>
      </c>
      <c r="F16" s="95" t="s">
        <v>186</v>
      </c>
      <c r="G16" s="96"/>
      <c r="H16" s="16"/>
      <c r="I16" s="15"/>
      <c r="J16" s="97"/>
      <c r="M16" s="63"/>
      <c r="N16" s="63"/>
    </row>
    <row r="17" spans="3:14" ht="12.75">
      <c r="C17" s="4"/>
      <c r="E17" s="2" t="s">
        <v>32</v>
      </c>
      <c r="F17" s="99" t="s">
        <v>188</v>
      </c>
      <c r="G17" s="100"/>
      <c r="H17" s="13"/>
      <c r="I17" s="14"/>
      <c r="J17" s="101"/>
      <c r="M17" s="63">
        <v>64</v>
      </c>
      <c r="N17" s="63"/>
    </row>
    <row r="18" spans="3:14" ht="12.75">
      <c r="C18" s="4"/>
      <c r="D18" s="2">
        <f>60/D15</f>
        <v>4</v>
      </c>
      <c r="E18" s="3" t="s">
        <v>190</v>
      </c>
      <c r="F18" s="47"/>
      <c r="G18" s="96"/>
      <c r="H18" s="16"/>
      <c r="I18" s="15"/>
      <c r="J18" s="123"/>
      <c r="M18" s="63">
        <v>128</v>
      </c>
      <c r="N18" s="63"/>
    </row>
    <row r="19" spans="3:14" ht="12.75">
      <c r="C19" s="4"/>
      <c r="D19" s="103">
        <f>3600/D15</f>
        <v>240</v>
      </c>
      <c r="E19" s="3" t="s">
        <v>191</v>
      </c>
      <c r="F19" s="47"/>
      <c r="G19" s="96"/>
      <c r="H19" s="16"/>
      <c r="I19" s="15"/>
      <c r="J19" s="123"/>
      <c r="M19" s="63">
        <v>256</v>
      </c>
      <c r="N19" s="63"/>
    </row>
    <row r="20" spans="1:14" ht="12.75">
      <c r="A20" s="2" t="s">
        <v>9</v>
      </c>
      <c r="E20" s="3"/>
      <c r="M20" s="63">
        <v>512</v>
      </c>
      <c r="N20" s="63"/>
    </row>
    <row r="21" spans="1:14" ht="12.75">
      <c r="A21" s="2" t="s">
        <v>14</v>
      </c>
      <c r="B21" s="29">
        <v>0</v>
      </c>
      <c r="C21" s="3" t="s">
        <v>194</v>
      </c>
      <c r="E21" s="4"/>
      <c r="F21" s="3"/>
      <c r="G21" s="9"/>
      <c r="H21" s="9"/>
      <c r="I21" s="11"/>
      <c r="J21" s="9"/>
      <c r="M21" s="63">
        <v>1024</v>
      </c>
      <c r="N21" s="63"/>
    </row>
    <row r="22" spans="1:14" ht="12.75">
      <c r="A22" s="2" t="s">
        <v>10</v>
      </c>
      <c r="B22" s="29">
        <v>0</v>
      </c>
      <c r="C22" s="2" t="s">
        <v>224</v>
      </c>
      <c r="E22" s="5"/>
      <c r="F22" s="124" t="s">
        <v>193</v>
      </c>
      <c r="G22" s="126" t="s">
        <v>33</v>
      </c>
      <c r="H22" s="87"/>
      <c r="I22" s="19" t="s">
        <v>112</v>
      </c>
      <c r="J22" s="88" t="s">
        <v>181</v>
      </c>
      <c r="M22" s="63">
        <v>2048</v>
      </c>
      <c r="N22" s="63"/>
    </row>
    <row r="23" spans="1:14" ht="12.75">
      <c r="A23" s="2" t="s">
        <v>11</v>
      </c>
      <c r="B23" s="29">
        <v>0</v>
      </c>
      <c r="F23" s="20" t="s">
        <v>22</v>
      </c>
      <c r="G23" s="16">
        <v>4</v>
      </c>
      <c r="H23" s="30">
        <v>4</v>
      </c>
      <c r="I23" s="68">
        <v>64</v>
      </c>
      <c r="J23" s="21"/>
      <c r="M23" s="63">
        <v>4096</v>
      </c>
      <c r="N23" s="63"/>
    </row>
    <row r="24" spans="1:14" ht="12.75">
      <c r="A24" s="2" t="s">
        <v>12</v>
      </c>
      <c r="B24" s="29">
        <v>0</v>
      </c>
      <c r="F24" s="20" t="s">
        <v>114</v>
      </c>
      <c r="G24" s="16">
        <v>2</v>
      </c>
      <c r="H24" s="30">
        <v>2</v>
      </c>
      <c r="J24" s="21"/>
      <c r="M24" s="63">
        <v>8192</v>
      </c>
      <c r="N24" s="63"/>
    </row>
    <row r="25" spans="1:14" ht="12.75">
      <c r="A25" s="2" t="s">
        <v>13</v>
      </c>
      <c r="B25" s="103">
        <f>SUM(B21:B24)</f>
        <v>0</v>
      </c>
      <c r="C25" s="3" t="s">
        <v>31</v>
      </c>
      <c r="F25" s="20" t="s">
        <v>115</v>
      </c>
      <c r="G25" s="16">
        <v>5</v>
      </c>
      <c r="H25" s="30">
        <v>0</v>
      </c>
      <c r="J25" s="109" t="s">
        <v>228</v>
      </c>
      <c r="M25" s="63"/>
      <c r="N25" s="63"/>
    </row>
    <row r="26" spans="6:14" ht="12.75">
      <c r="F26" s="20" t="s">
        <v>108</v>
      </c>
      <c r="G26" s="16">
        <v>3</v>
      </c>
      <c r="H26" s="30">
        <v>0</v>
      </c>
      <c r="I26" s="16" t="s">
        <v>111</v>
      </c>
      <c r="J26" s="94">
        <f>D8*H4*24*30/I28</f>
        <v>2.025</v>
      </c>
      <c r="M26" s="63"/>
      <c r="N26" s="63"/>
    </row>
    <row r="27" spans="1:10" s="1" customFormat="1" ht="12.75">
      <c r="A27" s="1" t="s">
        <v>0</v>
      </c>
      <c r="D27" s="2"/>
      <c r="F27" s="23" t="s">
        <v>109</v>
      </c>
      <c r="G27" s="13">
        <v>3</v>
      </c>
      <c r="H27" s="30">
        <v>0</v>
      </c>
      <c r="I27" s="125" t="s">
        <v>30</v>
      </c>
      <c r="J27" s="109" t="s">
        <v>227</v>
      </c>
    </row>
    <row r="28" spans="1:10" s="1" customFormat="1" ht="12.75">
      <c r="A28" s="2">
        <v>5E-05</v>
      </c>
      <c r="B28" s="2">
        <v>3600</v>
      </c>
      <c r="C28" s="2">
        <f>A28*B28</f>
        <v>0.18000000000000002</v>
      </c>
      <c r="D28" s="2"/>
      <c r="F28" s="24" t="s">
        <v>28</v>
      </c>
      <c r="G28" s="13"/>
      <c r="H28" s="13">
        <f>SUM(H23:H27)</f>
        <v>6</v>
      </c>
      <c r="I28" s="122">
        <f>I23*1000/H28</f>
        <v>10666.666666666666</v>
      </c>
      <c r="J28" s="111">
        <f>D15*H4*24*30/I28</f>
        <v>3.0375</v>
      </c>
    </row>
    <row r="29" spans="1:10" ht="12.75">
      <c r="A29" s="5" t="s">
        <v>2</v>
      </c>
      <c r="B29" s="5" t="s">
        <v>5</v>
      </c>
      <c r="C29" s="5" t="s">
        <v>4</v>
      </c>
      <c r="I29" s="28"/>
      <c r="J29" s="27"/>
    </row>
    <row r="30" ht="12.75">
      <c r="D30" s="25"/>
    </row>
    <row r="31" ht="12.75">
      <c r="A31" s="1" t="s">
        <v>226</v>
      </c>
    </row>
    <row r="32" ht="12.75">
      <c r="A32" s="26" t="s">
        <v>38</v>
      </c>
    </row>
    <row r="33" ht="12.75">
      <c r="A33" s="37" t="s">
        <v>43</v>
      </c>
    </row>
    <row r="34" spans="1:10" s="25" customFormat="1" ht="12.75">
      <c r="A34" s="26" t="s">
        <v>39</v>
      </c>
      <c r="D34" s="2"/>
      <c r="F34" s="2"/>
      <c r="G34" s="7"/>
      <c r="H34" s="7"/>
      <c r="I34" s="10"/>
      <c r="J34" s="7"/>
    </row>
    <row r="35" spans="1:2" ht="12.75">
      <c r="A35" s="26" t="s">
        <v>225</v>
      </c>
      <c r="B35" s="3"/>
    </row>
    <row r="37" spans="7:10" s="25" customFormat="1" ht="12.75">
      <c r="G37" s="27"/>
      <c r="H37" s="27"/>
      <c r="I37" s="28"/>
      <c r="J37" s="27"/>
    </row>
  </sheetData>
  <sheetProtection sheet="1" objects="1" scenarios="1" selectLockedCells="1"/>
  <dataValidations count="1">
    <dataValidation type="list" allowBlank="1" showInputMessage="1" showErrorMessage="1" sqref="I23">
      <formula1>$M$17:$M$24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5"/>
  </sheetPr>
  <dimension ref="A1:M31"/>
  <sheetViews>
    <sheetView workbookViewId="0" topLeftCell="A1">
      <selection activeCell="C2" sqref="C2"/>
    </sheetView>
  </sheetViews>
  <sheetFormatPr defaultColWidth="9.140625" defaultRowHeight="12.75"/>
  <cols>
    <col min="1" max="1" width="15.57421875" style="2" customWidth="1"/>
    <col min="2" max="2" width="20.8515625" style="2" customWidth="1"/>
    <col min="3" max="3" width="18.421875" style="2" customWidth="1"/>
    <col min="4" max="4" width="15.28125" style="2" customWidth="1"/>
    <col min="5" max="5" width="18.28125" style="2" customWidth="1"/>
    <col min="6" max="6" width="14.28125" style="2" customWidth="1"/>
    <col min="7" max="7" width="9.57421875" style="7" customWidth="1"/>
    <col min="8" max="8" width="8.28125" style="7" customWidth="1"/>
    <col min="9" max="9" width="9.14062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106</v>
      </c>
      <c r="C1" s="35" t="s">
        <v>119</v>
      </c>
      <c r="E1" s="2" t="s">
        <v>41</v>
      </c>
      <c r="F1" s="29">
        <v>20</v>
      </c>
      <c r="G1" s="3" t="s">
        <v>37</v>
      </c>
      <c r="H1" s="2"/>
      <c r="I1" s="2"/>
      <c r="J1" s="2"/>
    </row>
    <row r="2" spans="1:10" ht="12.75">
      <c r="A2" s="3" t="s">
        <v>34</v>
      </c>
      <c r="B2" s="5"/>
      <c r="C2" s="78" t="s">
        <v>139</v>
      </c>
      <c r="E2" s="6" t="s">
        <v>36</v>
      </c>
      <c r="G2" s="38" t="s">
        <v>40</v>
      </c>
      <c r="H2" s="2"/>
      <c r="I2" s="2"/>
      <c r="J2" s="2"/>
    </row>
    <row r="3" spans="1:10" ht="12.75">
      <c r="A3" s="3"/>
      <c r="B3" s="5"/>
      <c r="C3" s="81"/>
      <c r="E3" s="6"/>
      <c r="G3" s="38"/>
      <c r="H3" s="2"/>
      <c r="I3" s="2"/>
      <c r="J3" s="2"/>
    </row>
    <row r="4" spans="1:10" ht="12.75">
      <c r="A4" s="3"/>
      <c r="B4" s="5"/>
      <c r="C4" s="81"/>
      <c r="E4" s="6"/>
      <c r="F4" s="82"/>
      <c r="G4" s="51" t="s">
        <v>176</v>
      </c>
      <c r="H4" s="83">
        <v>6</v>
      </c>
      <c r="I4" s="84" t="s">
        <v>177</v>
      </c>
      <c r="J4" s="82"/>
    </row>
    <row r="5" spans="6:10" ht="12.75">
      <c r="F5" s="5"/>
      <c r="G5" s="16"/>
      <c r="H5" s="16"/>
      <c r="I5" s="15"/>
      <c r="J5" s="16"/>
    </row>
    <row r="6" spans="1:10" ht="12.75">
      <c r="A6" s="3" t="s">
        <v>107</v>
      </c>
      <c r="C6" s="4"/>
      <c r="D6" s="6"/>
      <c r="F6" s="85" t="s">
        <v>179</v>
      </c>
      <c r="G6" s="86" t="s">
        <v>180</v>
      </c>
      <c r="H6" s="87"/>
      <c r="I6" s="87" t="s">
        <v>20</v>
      </c>
      <c r="J6" s="88" t="s">
        <v>181</v>
      </c>
    </row>
    <row r="7" spans="6:10" s="3" customFormat="1" ht="12.75">
      <c r="F7" s="89" t="s">
        <v>15</v>
      </c>
      <c r="G7" s="16" t="s">
        <v>183</v>
      </c>
      <c r="H7" s="16" t="s">
        <v>184</v>
      </c>
      <c r="I7" s="16"/>
      <c r="J7" s="90"/>
    </row>
    <row r="8" spans="1:10" ht="12.75">
      <c r="A8" s="2">
        <v>0.13</v>
      </c>
      <c r="B8" s="29">
        <v>5</v>
      </c>
      <c r="C8" s="4">
        <f>((A8+(B18/1000))*B8)+(A10*(B8-0.3))</f>
        <v>2.0412</v>
      </c>
      <c r="D8" s="29">
        <v>5</v>
      </c>
      <c r="E8" s="4">
        <f>C8*D8+C21</f>
        <v>10.386</v>
      </c>
      <c r="F8" s="29">
        <v>10.5</v>
      </c>
      <c r="G8" s="92">
        <f>((F1+20)/40)*F8*150/E8</f>
        <v>151.6464471403813</v>
      </c>
      <c r="H8" s="93">
        <f>G8/30</f>
        <v>5.054881571346043</v>
      </c>
      <c r="I8" s="92">
        <f>G8*D8*24</f>
        <v>18197.573656845754</v>
      </c>
      <c r="J8" s="94">
        <f>D8*H4*24*30/I8</f>
        <v>1.1869714285714286</v>
      </c>
    </row>
    <row r="9" spans="1:10" ht="12.75">
      <c r="A9" s="2" t="s">
        <v>2</v>
      </c>
      <c r="B9" s="2" t="s">
        <v>3</v>
      </c>
      <c r="C9" s="5" t="s">
        <v>4</v>
      </c>
      <c r="D9" s="2" t="s">
        <v>6</v>
      </c>
      <c r="E9" s="5" t="s">
        <v>7</v>
      </c>
      <c r="F9" s="95" t="s">
        <v>186</v>
      </c>
      <c r="G9" s="96"/>
      <c r="H9" s="16"/>
      <c r="I9" s="15"/>
      <c r="J9" s="97"/>
    </row>
    <row r="10" spans="1:10" ht="12.75">
      <c r="A10" s="10">
        <v>0.296</v>
      </c>
      <c r="B10" s="11" t="s">
        <v>120</v>
      </c>
      <c r="C10" s="4"/>
      <c r="E10" s="2" t="s">
        <v>32</v>
      </c>
      <c r="F10" s="99" t="s">
        <v>188</v>
      </c>
      <c r="G10" s="100"/>
      <c r="H10" s="13"/>
      <c r="I10" s="14"/>
      <c r="J10" s="101"/>
    </row>
    <row r="11" spans="3:5" ht="12.75">
      <c r="C11" s="4"/>
      <c r="D11" s="2">
        <f>60/D8</f>
        <v>12</v>
      </c>
      <c r="E11" s="3" t="s">
        <v>190</v>
      </c>
    </row>
    <row r="12" spans="2:10" s="3" customFormat="1" ht="12.75">
      <c r="B12" s="2"/>
      <c r="C12" s="2"/>
      <c r="D12" s="103">
        <f>3600/D8</f>
        <v>720</v>
      </c>
      <c r="E12" s="3" t="s">
        <v>191</v>
      </c>
      <c r="G12" s="9"/>
      <c r="H12" s="9"/>
      <c r="I12" s="11"/>
      <c r="J12" s="9"/>
    </row>
    <row r="13" spans="1:10" s="3" customFormat="1" ht="12.75">
      <c r="A13" s="2" t="s">
        <v>9</v>
      </c>
      <c r="B13" s="2"/>
      <c r="C13" s="2"/>
      <c r="D13" s="117"/>
      <c r="G13" s="9"/>
      <c r="H13" s="9"/>
      <c r="I13" s="11"/>
      <c r="J13" s="9"/>
    </row>
    <row r="14" spans="1:13" ht="12.75">
      <c r="A14" s="2" t="s">
        <v>14</v>
      </c>
      <c r="B14" s="29">
        <v>0</v>
      </c>
      <c r="C14" s="3" t="s">
        <v>194</v>
      </c>
      <c r="E14" s="4"/>
      <c r="F14" s="119" t="s">
        <v>193</v>
      </c>
      <c r="G14" s="87" t="s">
        <v>33</v>
      </c>
      <c r="H14" s="87"/>
      <c r="I14" s="87" t="s">
        <v>112</v>
      </c>
      <c r="J14" s="88" t="s">
        <v>181</v>
      </c>
      <c r="M14" s="63">
        <v>64</v>
      </c>
    </row>
    <row r="15" spans="1:13" ht="12.75">
      <c r="A15" s="2" t="s">
        <v>10</v>
      </c>
      <c r="B15" s="29">
        <v>0</v>
      </c>
      <c r="C15" s="2" t="s">
        <v>224</v>
      </c>
      <c r="E15" s="5"/>
      <c r="F15" s="20" t="s">
        <v>22</v>
      </c>
      <c r="G15" s="59">
        <v>4</v>
      </c>
      <c r="H15" s="30">
        <v>4</v>
      </c>
      <c r="I15" s="68">
        <v>256</v>
      </c>
      <c r="J15" s="90"/>
      <c r="M15" s="63">
        <v>128</v>
      </c>
    </row>
    <row r="16" spans="1:13" ht="12.75">
      <c r="A16" s="2" t="s">
        <v>11</v>
      </c>
      <c r="B16" s="29">
        <v>0</v>
      </c>
      <c r="F16" s="20" t="s">
        <v>108</v>
      </c>
      <c r="G16" s="59">
        <v>3</v>
      </c>
      <c r="H16" s="30">
        <v>0</v>
      </c>
      <c r="I16" s="16" t="s">
        <v>29</v>
      </c>
      <c r="J16" s="21"/>
      <c r="M16" s="63">
        <v>256</v>
      </c>
    </row>
    <row r="17" spans="1:13" ht="12.75">
      <c r="A17" s="2" t="s">
        <v>12</v>
      </c>
      <c r="B17" s="29">
        <v>0</v>
      </c>
      <c r="F17" s="20" t="s">
        <v>109</v>
      </c>
      <c r="G17" s="59">
        <v>3</v>
      </c>
      <c r="H17" s="30">
        <v>0</v>
      </c>
      <c r="I17" s="16" t="s">
        <v>30</v>
      </c>
      <c r="J17" s="97"/>
      <c r="M17" s="63">
        <v>512</v>
      </c>
    </row>
    <row r="18" spans="1:13" ht="12.75">
      <c r="A18" s="2" t="s">
        <v>13</v>
      </c>
      <c r="B18" s="103">
        <f>SUM(B14:B17)</f>
        <v>0</v>
      </c>
      <c r="C18" s="3" t="s">
        <v>31</v>
      </c>
      <c r="F18" s="120"/>
      <c r="G18" s="121" t="s">
        <v>28</v>
      </c>
      <c r="H18" s="13">
        <f>SUM(H15:H17)</f>
        <v>4</v>
      </c>
      <c r="I18" s="122">
        <f>I15*1000/H18</f>
        <v>64000</v>
      </c>
      <c r="J18" s="111">
        <f>D8*H4*24*30/I18</f>
        <v>0.3375</v>
      </c>
      <c r="M18" s="63">
        <v>1024</v>
      </c>
    </row>
    <row r="19" spans="6:13" ht="12.75">
      <c r="F19" s="5"/>
      <c r="G19" s="16"/>
      <c r="H19" s="16"/>
      <c r="I19" s="15"/>
      <c r="J19" s="16"/>
      <c r="M19" s="63">
        <v>2048</v>
      </c>
    </row>
    <row r="20" spans="1:13" ht="12.75">
      <c r="A20" s="1" t="s">
        <v>0</v>
      </c>
      <c r="B20" s="1"/>
      <c r="C20" s="1"/>
      <c r="D20" s="1"/>
      <c r="I20" s="15"/>
      <c r="J20" s="16"/>
      <c r="M20" s="63">
        <v>4096</v>
      </c>
    </row>
    <row r="21" spans="1:13" ht="12.75">
      <c r="A21" s="2">
        <v>5E-05</v>
      </c>
      <c r="B21" s="2">
        <v>3600</v>
      </c>
      <c r="C21" s="2">
        <f>A21*B21</f>
        <v>0.18000000000000002</v>
      </c>
      <c r="I21" s="15"/>
      <c r="J21" s="16"/>
      <c r="M21" s="63">
        <v>8192</v>
      </c>
    </row>
    <row r="22" spans="1:3" ht="12.75">
      <c r="A22" s="5" t="s">
        <v>2</v>
      </c>
      <c r="B22" s="5" t="s">
        <v>5</v>
      </c>
      <c r="C22" s="5" t="s">
        <v>4</v>
      </c>
    </row>
    <row r="23" spans="6:8" ht="12.75">
      <c r="F23" s="25"/>
      <c r="G23" s="27"/>
      <c r="H23" s="27"/>
    </row>
    <row r="24" spans="1:10" s="1" customFormat="1" ht="12.75">
      <c r="A24" s="1" t="s">
        <v>226</v>
      </c>
      <c r="B24" s="2"/>
      <c r="C24" s="2"/>
      <c r="D24" s="2"/>
      <c r="F24" s="2"/>
      <c r="G24" s="7"/>
      <c r="H24" s="7"/>
      <c r="I24" s="10"/>
      <c r="J24" s="7"/>
    </row>
    <row r="25" spans="1:10" s="1" customFormat="1" ht="12.75">
      <c r="A25" s="26" t="s">
        <v>38</v>
      </c>
      <c r="B25" s="2"/>
      <c r="C25" s="2"/>
      <c r="D25" s="2"/>
      <c r="F25" s="2"/>
      <c r="G25" s="7"/>
      <c r="H25" s="7"/>
      <c r="I25" s="10"/>
      <c r="J25" s="7"/>
    </row>
    <row r="26" spans="1:10" ht="12.75">
      <c r="A26" s="37" t="s">
        <v>43</v>
      </c>
      <c r="I26" s="28"/>
      <c r="J26" s="27"/>
    </row>
    <row r="27" spans="1:4" ht="12.75">
      <c r="A27" s="26" t="s">
        <v>39</v>
      </c>
      <c r="B27" s="25"/>
      <c r="C27" s="25"/>
      <c r="D27" s="25"/>
    </row>
    <row r="28" spans="1:2" ht="12.75">
      <c r="A28" s="26" t="s">
        <v>225</v>
      </c>
      <c r="B28" s="3"/>
    </row>
    <row r="29" ht="12.75">
      <c r="A29" s="26"/>
    </row>
    <row r="30" ht="12.75">
      <c r="A30" s="26"/>
    </row>
    <row r="31" spans="2:10" s="25" customFormat="1" ht="12.75">
      <c r="B31" s="2"/>
      <c r="C31" s="2"/>
      <c r="D31" s="2"/>
      <c r="F31" s="2"/>
      <c r="G31" s="7"/>
      <c r="H31" s="7"/>
      <c r="I31" s="10"/>
      <c r="J31" s="7"/>
    </row>
  </sheetData>
  <sheetProtection sheet="1" objects="1" scenarios="1" selectLockedCells="1"/>
  <dataValidations count="1">
    <dataValidation type="list" allowBlank="1" showInputMessage="1" showErrorMessage="1" sqref="I15">
      <formula1>$M$14:$M$21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5"/>
  </sheetPr>
  <dimension ref="A1:N37"/>
  <sheetViews>
    <sheetView workbookViewId="0" topLeftCell="A1">
      <selection activeCell="F1" sqref="F1"/>
    </sheetView>
  </sheetViews>
  <sheetFormatPr defaultColWidth="9.140625" defaultRowHeight="12.75"/>
  <cols>
    <col min="1" max="1" width="15.57421875" style="2" customWidth="1"/>
    <col min="2" max="2" width="20.8515625" style="2" customWidth="1"/>
    <col min="3" max="3" width="17.140625" style="2" customWidth="1"/>
    <col min="4" max="4" width="15.28125" style="2" customWidth="1"/>
    <col min="5" max="5" width="19.7109375" style="2" customWidth="1"/>
    <col min="6" max="6" width="14.28125" style="2" customWidth="1"/>
    <col min="7" max="7" width="8.28125" style="7" customWidth="1"/>
    <col min="8" max="8" width="7.57421875" style="7" customWidth="1"/>
    <col min="9" max="9" width="9.710937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106</v>
      </c>
      <c r="C1" s="35" t="s">
        <v>121</v>
      </c>
      <c r="E1" s="2" t="s">
        <v>41</v>
      </c>
      <c r="F1" s="29">
        <v>20</v>
      </c>
      <c r="G1" s="3" t="s">
        <v>37</v>
      </c>
      <c r="H1" s="2"/>
      <c r="I1" s="2"/>
      <c r="J1" s="2"/>
    </row>
    <row r="2" spans="1:10" ht="12.75">
      <c r="A2" s="3" t="s">
        <v>34</v>
      </c>
      <c r="B2" s="5"/>
      <c r="C2" s="78" t="s">
        <v>139</v>
      </c>
      <c r="E2" s="6" t="s">
        <v>36</v>
      </c>
      <c r="G2" s="38" t="s">
        <v>40</v>
      </c>
      <c r="H2" s="2"/>
      <c r="I2" s="2"/>
      <c r="J2" s="2"/>
    </row>
    <row r="3" spans="1:10" ht="12.75">
      <c r="A3" s="3"/>
      <c r="B3" s="5"/>
      <c r="C3" s="81"/>
      <c r="E3" s="6"/>
      <c r="G3" s="38"/>
      <c r="H3" s="2"/>
      <c r="I3" s="2"/>
      <c r="J3" s="2"/>
    </row>
    <row r="4" spans="1:10" ht="12.75">
      <c r="A4" s="3"/>
      <c r="B4" s="5"/>
      <c r="C4" s="81"/>
      <c r="E4" s="6"/>
      <c r="F4" s="82"/>
      <c r="G4" s="51" t="s">
        <v>176</v>
      </c>
      <c r="H4" s="83">
        <v>3</v>
      </c>
      <c r="I4" s="84" t="s">
        <v>177</v>
      </c>
      <c r="J4" s="82"/>
    </row>
    <row r="5" spans="6:10" ht="12.75">
      <c r="F5" s="5"/>
      <c r="G5" s="16"/>
      <c r="H5" s="16"/>
      <c r="I5" s="15"/>
      <c r="J5" s="16"/>
    </row>
    <row r="6" spans="1:10" ht="12.75">
      <c r="A6" s="3" t="s">
        <v>107</v>
      </c>
      <c r="D6" s="6"/>
      <c r="F6" s="85" t="s">
        <v>179</v>
      </c>
      <c r="G6" s="86" t="s">
        <v>180</v>
      </c>
      <c r="H6" s="87"/>
      <c r="I6" s="87" t="s">
        <v>20</v>
      </c>
      <c r="J6" s="88" t="s">
        <v>181</v>
      </c>
    </row>
    <row r="7" spans="1:10" s="3" customFormat="1" ht="12.75">
      <c r="A7" s="3" t="s">
        <v>116</v>
      </c>
      <c r="F7" s="89" t="s">
        <v>15</v>
      </c>
      <c r="G7" s="16" t="s">
        <v>183</v>
      </c>
      <c r="H7" s="16" t="s">
        <v>184</v>
      </c>
      <c r="I7" s="16"/>
      <c r="J7" s="90"/>
    </row>
    <row r="8" spans="1:10" ht="12.75">
      <c r="A8" s="2">
        <v>0.18</v>
      </c>
      <c r="B8" s="29">
        <v>5</v>
      </c>
      <c r="C8" s="4">
        <f>((A8+(B25/1000))*B8)+(A10*(B8-0.3))</f>
        <v>2.2912</v>
      </c>
      <c r="D8" s="29">
        <v>10</v>
      </c>
      <c r="E8" s="4">
        <f>C8*D8+C28</f>
        <v>23.092</v>
      </c>
      <c r="F8" s="29">
        <v>10.5</v>
      </c>
      <c r="G8" s="92">
        <f>((F1+20)/40)*F8*150/E8</f>
        <v>68.20543911311277</v>
      </c>
      <c r="H8" s="93">
        <f>G8/30</f>
        <v>2.273514637103759</v>
      </c>
      <c r="I8" s="92">
        <f>G8*D8*24</f>
        <v>16369.305387147066</v>
      </c>
      <c r="J8" s="94">
        <f>D8*H4*24*30/I8</f>
        <v>1.319542857142857</v>
      </c>
    </row>
    <row r="9" spans="1:10" ht="12.75">
      <c r="A9" s="2" t="s">
        <v>2</v>
      </c>
      <c r="B9" s="2" t="s">
        <v>3</v>
      </c>
      <c r="C9" s="5" t="s">
        <v>4</v>
      </c>
      <c r="D9" s="2" t="s">
        <v>6</v>
      </c>
      <c r="E9" s="5" t="s">
        <v>7</v>
      </c>
      <c r="F9" s="95" t="s">
        <v>186</v>
      </c>
      <c r="G9" s="96"/>
      <c r="H9" s="16"/>
      <c r="I9" s="15"/>
      <c r="J9" s="97"/>
    </row>
    <row r="10" spans="1:10" ht="12.75">
      <c r="A10" s="10">
        <v>0.296</v>
      </c>
      <c r="B10" s="11" t="s">
        <v>120</v>
      </c>
      <c r="C10" s="4"/>
      <c r="E10" s="2" t="s">
        <v>32</v>
      </c>
      <c r="F10" s="99" t="s">
        <v>188</v>
      </c>
      <c r="G10" s="100"/>
      <c r="H10" s="13"/>
      <c r="I10" s="14"/>
      <c r="J10" s="101"/>
    </row>
    <row r="11" spans="3:10" ht="12.75">
      <c r="C11" s="4"/>
      <c r="D11" s="2">
        <f>60/D8</f>
        <v>6</v>
      </c>
      <c r="E11" s="3" t="s">
        <v>190</v>
      </c>
      <c r="G11" s="17"/>
      <c r="J11" s="17"/>
    </row>
    <row r="12" spans="3:10" ht="12.75">
      <c r="C12" s="4"/>
      <c r="D12" s="103">
        <f>3600/D8</f>
        <v>360</v>
      </c>
      <c r="E12" s="3" t="s">
        <v>191</v>
      </c>
      <c r="G12" s="17"/>
      <c r="J12" s="17"/>
    </row>
    <row r="13" spans="1:10" ht="12.75">
      <c r="A13" s="3" t="s">
        <v>118</v>
      </c>
      <c r="F13" s="85" t="s">
        <v>179</v>
      </c>
      <c r="G13" s="86" t="s">
        <v>180</v>
      </c>
      <c r="H13" s="87"/>
      <c r="I13" s="87" t="s">
        <v>20</v>
      </c>
      <c r="J13" s="88" t="s">
        <v>181</v>
      </c>
    </row>
    <row r="14" spans="1:10" s="3" customFormat="1" ht="12.75">
      <c r="A14" s="3" t="s">
        <v>117</v>
      </c>
      <c r="F14" s="89" t="s">
        <v>15</v>
      </c>
      <c r="G14" s="16" t="s">
        <v>183</v>
      </c>
      <c r="H14" s="16" t="s">
        <v>184</v>
      </c>
      <c r="I14" s="16"/>
      <c r="J14" s="90"/>
    </row>
    <row r="15" spans="1:10" ht="12.75">
      <c r="A15" s="2">
        <v>0.245</v>
      </c>
      <c r="B15" s="29">
        <v>6.7</v>
      </c>
      <c r="C15" s="4">
        <f>((A15+(B25/1000))*B15)+(A17*(B15-0.4))</f>
        <v>3.5062999999999995</v>
      </c>
      <c r="D15" s="29">
        <v>1</v>
      </c>
      <c r="E15" s="4">
        <f>C15*D15+C28</f>
        <v>3.6862999999999997</v>
      </c>
      <c r="F15" s="29">
        <v>10.5</v>
      </c>
      <c r="G15" s="92">
        <f>((F1+20)/40)*F15*150/E15</f>
        <v>427.2576838564415</v>
      </c>
      <c r="H15" s="93">
        <f>G15/30</f>
        <v>14.241922795214716</v>
      </c>
      <c r="I15" s="92">
        <f>G15*D15*24</f>
        <v>10254.184412554596</v>
      </c>
      <c r="J15" s="94">
        <f>D15*H4*24*30/I15</f>
        <v>0.21064571428571424</v>
      </c>
    </row>
    <row r="16" spans="1:14" ht="12.75">
      <c r="A16" s="2" t="s">
        <v>2</v>
      </c>
      <c r="B16" s="2" t="s">
        <v>3</v>
      </c>
      <c r="C16" s="5" t="s">
        <v>4</v>
      </c>
      <c r="D16" s="2" t="s">
        <v>6</v>
      </c>
      <c r="E16" s="5" t="s">
        <v>7</v>
      </c>
      <c r="F16" s="95" t="s">
        <v>186</v>
      </c>
      <c r="G16" s="96"/>
      <c r="H16" s="16"/>
      <c r="I16" s="15"/>
      <c r="J16" s="97"/>
      <c r="M16" s="63"/>
      <c r="N16" s="63"/>
    </row>
    <row r="17" spans="1:14" ht="12.75">
      <c r="A17" s="10">
        <v>0.296</v>
      </c>
      <c r="B17" s="11" t="s">
        <v>120</v>
      </c>
      <c r="C17" s="4"/>
      <c r="E17" s="2" t="s">
        <v>32</v>
      </c>
      <c r="F17" s="99" t="s">
        <v>188</v>
      </c>
      <c r="G17" s="100"/>
      <c r="H17" s="13"/>
      <c r="I17" s="14"/>
      <c r="J17" s="101"/>
      <c r="M17" s="63">
        <v>64</v>
      </c>
      <c r="N17" s="63"/>
    </row>
    <row r="18" spans="3:14" ht="12.75">
      <c r="C18" s="4"/>
      <c r="D18" s="2">
        <f>60/D15</f>
        <v>60</v>
      </c>
      <c r="E18" s="3" t="s">
        <v>190</v>
      </c>
      <c r="F18" s="47"/>
      <c r="G18" s="96"/>
      <c r="H18" s="16"/>
      <c r="I18" s="15"/>
      <c r="J18" s="123"/>
      <c r="M18" s="63">
        <v>128</v>
      </c>
      <c r="N18" s="63"/>
    </row>
    <row r="19" spans="3:14" ht="12.75">
      <c r="C19" s="4"/>
      <c r="D19" s="103">
        <f>3600/D15</f>
        <v>3600</v>
      </c>
      <c r="E19" s="3" t="s">
        <v>191</v>
      </c>
      <c r="F19" s="47"/>
      <c r="G19" s="96"/>
      <c r="H19" s="16"/>
      <c r="I19" s="15"/>
      <c r="J19" s="123"/>
      <c r="M19" s="63">
        <v>256</v>
      </c>
      <c r="N19" s="63"/>
    </row>
    <row r="20" spans="1:14" ht="12.75">
      <c r="A20" s="2" t="s">
        <v>9</v>
      </c>
      <c r="E20" s="3"/>
      <c r="M20" s="63">
        <v>512</v>
      </c>
      <c r="N20" s="63"/>
    </row>
    <row r="21" spans="1:14" ht="12.75">
      <c r="A21" s="2" t="s">
        <v>14</v>
      </c>
      <c r="B21" s="29">
        <v>0</v>
      </c>
      <c r="C21" s="3" t="s">
        <v>194</v>
      </c>
      <c r="E21" s="4"/>
      <c r="F21" s="3"/>
      <c r="G21" s="9"/>
      <c r="H21" s="9"/>
      <c r="I21" s="11"/>
      <c r="J21" s="9"/>
      <c r="M21" s="63">
        <v>1024</v>
      </c>
      <c r="N21" s="63"/>
    </row>
    <row r="22" spans="1:14" ht="12.75">
      <c r="A22" s="2" t="s">
        <v>10</v>
      </c>
      <c r="B22" s="29">
        <v>0</v>
      </c>
      <c r="C22" s="2" t="s">
        <v>224</v>
      </c>
      <c r="E22" s="5"/>
      <c r="F22" s="124" t="s">
        <v>193</v>
      </c>
      <c r="G22" s="126" t="s">
        <v>33</v>
      </c>
      <c r="H22" s="87"/>
      <c r="I22" s="19" t="s">
        <v>112</v>
      </c>
      <c r="J22" s="88" t="s">
        <v>181</v>
      </c>
      <c r="M22" s="63">
        <v>2048</v>
      </c>
      <c r="N22" s="63"/>
    </row>
    <row r="23" spans="1:14" ht="12.75">
      <c r="A23" s="2" t="s">
        <v>11</v>
      </c>
      <c r="B23" s="29">
        <v>0</v>
      </c>
      <c r="F23" s="20" t="s">
        <v>22</v>
      </c>
      <c r="G23" s="16">
        <v>4</v>
      </c>
      <c r="H23" s="30">
        <v>4</v>
      </c>
      <c r="I23" s="68">
        <v>64</v>
      </c>
      <c r="J23" s="21"/>
      <c r="M23" s="63">
        <v>4096</v>
      </c>
      <c r="N23" s="63"/>
    </row>
    <row r="24" spans="1:14" ht="12.75">
      <c r="A24" s="2" t="s">
        <v>12</v>
      </c>
      <c r="B24" s="29">
        <v>0</v>
      </c>
      <c r="F24" s="20" t="s">
        <v>114</v>
      </c>
      <c r="G24" s="16">
        <v>2</v>
      </c>
      <c r="H24" s="30">
        <v>2</v>
      </c>
      <c r="J24" s="21"/>
      <c r="M24" s="63">
        <v>8192</v>
      </c>
      <c r="N24" s="63"/>
    </row>
    <row r="25" spans="1:14" ht="12.75">
      <c r="A25" s="2" t="s">
        <v>13</v>
      </c>
      <c r="B25" s="103">
        <f>SUM(B21:B24)</f>
        <v>0</v>
      </c>
      <c r="C25" s="3" t="s">
        <v>31</v>
      </c>
      <c r="F25" s="20" t="s">
        <v>115</v>
      </c>
      <c r="G25" s="16">
        <v>5</v>
      </c>
      <c r="H25" s="30">
        <v>0</v>
      </c>
      <c r="J25" s="109" t="s">
        <v>228</v>
      </c>
      <c r="M25" s="63"/>
      <c r="N25" s="63"/>
    </row>
    <row r="26" spans="6:14" ht="12.75">
      <c r="F26" s="20" t="s">
        <v>108</v>
      </c>
      <c r="G26" s="16">
        <v>3</v>
      </c>
      <c r="H26" s="30">
        <v>0</v>
      </c>
      <c r="I26" s="16" t="s">
        <v>111</v>
      </c>
      <c r="J26" s="94">
        <f>D8*H4*24*30/I28</f>
        <v>2.025</v>
      </c>
      <c r="M26" s="63"/>
      <c r="N26" s="63"/>
    </row>
    <row r="27" spans="1:10" s="1" customFormat="1" ht="12.75">
      <c r="A27" s="1" t="s">
        <v>0</v>
      </c>
      <c r="D27" s="2"/>
      <c r="F27" s="23" t="s">
        <v>109</v>
      </c>
      <c r="G27" s="13">
        <v>3</v>
      </c>
      <c r="H27" s="30">
        <v>0</v>
      </c>
      <c r="I27" s="125" t="s">
        <v>30</v>
      </c>
      <c r="J27" s="109" t="s">
        <v>227</v>
      </c>
    </row>
    <row r="28" spans="1:10" s="1" customFormat="1" ht="12.75">
      <c r="A28" s="2">
        <v>5E-05</v>
      </c>
      <c r="B28" s="2">
        <v>3600</v>
      </c>
      <c r="C28" s="2">
        <f>A28*B28</f>
        <v>0.18000000000000002</v>
      </c>
      <c r="D28" s="2"/>
      <c r="F28" s="24" t="s">
        <v>28</v>
      </c>
      <c r="G28" s="13"/>
      <c r="H28" s="13">
        <f>SUM(H23:H27)</f>
        <v>6</v>
      </c>
      <c r="I28" s="122">
        <f>I23*1000/H28</f>
        <v>10666.666666666666</v>
      </c>
      <c r="J28" s="111">
        <f>D15*H4*24*30/I28</f>
        <v>0.2025</v>
      </c>
    </row>
    <row r="29" spans="1:10" ht="12.75">
      <c r="A29" s="5" t="s">
        <v>2</v>
      </c>
      <c r="B29" s="5" t="s">
        <v>5</v>
      </c>
      <c r="C29" s="5" t="s">
        <v>4</v>
      </c>
      <c r="I29" s="28"/>
      <c r="J29" s="27"/>
    </row>
    <row r="30" ht="12.75">
      <c r="D30" s="25"/>
    </row>
    <row r="31" ht="12.75">
      <c r="A31" s="1" t="s">
        <v>226</v>
      </c>
    </row>
    <row r="32" ht="12.75">
      <c r="A32" s="26" t="s">
        <v>38</v>
      </c>
    </row>
    <row r="33" ht="12.75">
      <c r="A33" s="37" t="s">
        <v>43</v>
      </c>
    </row>
    <row r="34" spans="1:10" s="25" customFormat="1" ht="12.75">
      <c r="A34" s="26" t="s">
        <v>39</v>
      </c>
      <c r="D34" s="2"/>
      <c r="F34" s="2"/>
      <c r="G34" s="7"/>
      <c r="H34" s="7"/>
      <c r="I34" s="10"/>
      <c r="J34" s="7"/>
    </row>
    <row r="35" spans="1:2" ht="12.75">
      <c r="A35" s="26" t="s">
        <v>225</v>
      </c>
      <c r="B35" s="3"/>
    </row>
    <row r="37" spans="7:10" s="25" customFormat="1" ht="12.75">
      <c r="G37" s="27"/>
      <c r="H37" s="27"/>
      <c r="I37" s="28"/>
      <c r="J37" s="27"/>
    </row>
  </sheetData>
  <sheetProtection sheet="1" objects="1" scenarios="1" selectLockedCells="1"/>
  <dataValidations count="1">
    <dataValidation type="list" allowBlank="1" showInputMessage="1" showErrorMessage="1" sqref="I23">
      <formula1>$M$17:$M$24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5"/>
  </sheetPr>
  <dimension ref="A1:M31"/>
  <sheetViews>
    <sheetView workbookViewId="0" topLeftCell="A1">
      <selection activeCell="F1" sqref="F1"/>
    </sheetView>
  </sheetViews>
  <sheetFormatPr defaultColWidth="9.140625" defaultRowHeight="12.75"/>
  <cols>
    <col min="1" max="1" width="16.28125" style="2" customWidth="1"/>
    <col min="2" max="2" width="19.57421875" style="2" customWidth="1"/>
    <col min="3" max="3" width="18.7109375" style="2" customWidth="1"/>
    <col min="4" max="4" width="15.28125" style="2" customWidth="1"/>
    <col min="5" max="5" width="18.421875" style="2" customWidth="1"/>
    <col min="6" max="6" width="14.28125" style="2" customWidth="1"/>
    <col min="7" max="7" width="9.8515625" style="7" customWidth="1"/>
    <col min="8" max="8" width="7.140625" style="7" customWidth="1"/>
    <col min="9" max="9" width="9.851562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106</v>
      </c>
      <c r="C1" s="35" t="s">
        <v>127</v>
      </c>
      <c r="E1" s="2" t="s">
        <v>41</v>
      </c>
      <c r="F1" s="29">
        <v>20</v>
      </c>
      <c r="G1" s="3" t="s">
        <v>37</v>
      </c>
      <c r="H1" s="2"/>
      <c r="I1" s="2"/>
      <c r="J1" s="2"/>
    </row>
    <row r="2" spans="1:10" ht="12.75">
      <c r="A2" s="3" t="s">
        <v>34</v>
      </c>
      <c r="B2" s="5"/>
      <c r="C2" s="78" t="s">
        <v>139</v>
      </c>
      <c r="E2" s="6" t="s">
        <v>36</v>
      </c>
      <c r="G2" s="38" t="s">
        <v>40</v>
      </c>
      <c r="H2" s="2"/>
      <c r="I2" s="2"/>
      <c r="J2" s="2"/>
    </row>
    <row r="3" spans="1:10" ht="12.75">
      <c r="A3" s="3"/>
      <c r="B3" s="5"/>
      <c r="C3" s="81"/>
      <c r="E3" s="6"/>
      <c r="G3" s="38"/>
      <c r="H3" s="2"/>
      <c r="I3" s="2"/>
      <c r="J3" s="2"/>
    </row>
    <row r="4" spans="1:10" ht="12.75">
      <c r="A4" s="3"/>
      <c r="B4" s="5"/>
      <c r="C4" s="81"/>
      <c r="E4" s="6"/>
      <c r="F4" s="82"/>
      <c r="G4" s="51" t="s">
        <v>176</v>
      </c>
      <c r="H4" s="83">
        <v>2</v>
      </c>
      <c r="I4" s="84" t="s">
        <v>177</v>
      </c>
      <c r="J4" s="82"/>
    </row>
    <row r="5" spans="6:10" ht="12.75">
      <c r="F5" s="5"/>
      <c r="G5" s="16"/>
      <c r="H5" s="16"/>
      <c r="I5" s="15"/>
      <c r="J5" s="16"/>
    </row>
    <row r="6" spans="1:10" ht="12.75">
      <c r="A6" s="3" t="s">
        <v>135</v>
      </c>
      <c r="D6" s="6"/>
      <c r="F6" s="85" t="s">
        <v>179</v>
      </c>
      <c r="G6" s="86" t="s">
        <v>180</v>
      </c>
      <c r="H6" s="87"/>
      <c r="I6" s="87" t="s">
        <v>20</v>
      </c>
      <c r="J6" s="88" t="s">
        <v>181</v>
      </c>
    </row>
    <row r="7" spans="6:10" s="3" customFormat="1" ht="12.75">
      <c r="F7" s="89" t="s">
        <v>15</v>
      </c>
      <c r="G7" s="16" t="s">
        <v>183</v>
      </c>
      <c r="H7" s="16" t="s">
        <v>184</v>
      </c>
      <c r="I7" s="16"/>
      <c r="J7" s="90"/>
    </row>
    <row r="8" spans="1:10" ht="12.75">
      <c r="A8" s="2">
        <v>0.13</v>
      </c>
      <c r="B8" s="29">
        <v>20</v>
      </c>
      <c r="C8" s="4">
        <f>((A8+(B18/1000))*B8)+(A10*(B8-0.3))+(120*B14/1000)</f>
        <v>9.391200000000001</v>
      </c>
      <c r="D8" s="29">
        <v>3</v>
      </c>
      <c r="E8" s="4">
        <f>C8*D8+C21</f>
        <v>28.353600000000004</v>
      </c>
      <c r="F8" s="29">
        <v>10.5</v>
      </c>
      <c r="G8" s="92">
        <f>((F1+20)/40)*F8*150/E8</f>
        <v>55.54850177755205</v>
      </c>
      <c r="H8" s="93">
        <f>G8/30</f>
        <v>1.8516167259184015</v>
      </c>
      <c r="I8" s="92">
        <f>G8*D8*24</f>
        <v>3999.492127983747</v>
      </c>
      <c r="J8" s="94">
        <f>D8*H4*24*30/I8</f>
        <v>1.0801371428571431</v>
      </c>
    </row>
    <row r="9" spans="1:10" ht="12.75">
      <c r="A9" s="2" t="s">
        <v>2</v>
      </c>
      <c r="B9" s="2" t="s">
        <v>3</v>
      </c>
      <c r="C9" s="5" t="s">
        <v>4</v>
      </c>
      <c r="D9" s="2" t="s">
        <v>6</v>
      </c>
      <c r="E9" s="5" t="s">
        <v>7</v>
      </c>
      <c r="F9" s="95" t="s">
        <v>186</v>
      </c>
      <c r="G9" s="96"/>
      <c r="H9" s="16"/>
      <c r="I9" s="15"/>
      <c r="J9" s="97"/>
    </row>
    <row r="10" spans="1:10" ht="12.75">
      <c r="A10" s="10">
        <v>0.296</v>
      </c>
      <c r="B10" s="11" t="s">
        <v>120</v>
      </c>
      <c r="C10" s="4"/>
      <c r="E10" s="2" t="s">
        <v>32</v>
      </c>
      <c r="F10" s="99" t="s">
        <v>188</v>
      </c>
      <c r="G10" s="100"/>
      <c r="H10" s="13"/>
      <c r="I10" s="14"/>
      <c r="J10" s="101"/>
    </row>
    <row r="11" spans="1:5" ht="12.75">
      <c r="A11" s="10"/>
      <c r="B11" s="11"/>
      <c r="C11" s="4"/>
      <c r="D11" s="2">
        <f>60/D8</f>
        <v>20</v>
      </c>
      <c r="E11" s="3" t="s">
        <v>190</v>
      </c>
    </row>
    <row r="12" spans="3:10" ht="12.75">
      <c r="C12" s="4"/>
      <c r="D12" s="103">
        <f>3600/D8</f>
        <v>1200</v>
      </c>
      <c r="E12" s="3" t="s">
        <v>191</v>
      </c>
      <c r="F12" s="3"/>
      <c r="G12" s="9"/>
      <c r="H12" s="9"/>
      <c r="I12" s="11"/>
      <c r="J12" s="9"/>
    </row>
    <row r="13" spans="1:10" s="3" customFormat="1" ht="12.75">
      <c r="A13" s="2" t="s">
        <v>9</v>
      </c>
      <c r="B13" s="2"/>
      <c r="C13" s="2"/>
      <c r="D13" s="2"/>
      <c r="G13" s="9"/>
      <c r="H13" s="9"/>
      <c r="I13" s="11"/>
      <c r="J13" s="9"/>
    </row>
    <row r="14" spans="1:13" ht="12.75">
      <c r="A14" s="2" t="s">
        <v>125</v>
      </c>
      <c r="B14" s="69">
        <v>8</v>
      </c>
      <c r="C14" s="3" t="s">
        <v>31</v>
      </c>
      <c r="E14" s="4"/>
      <c r="F14" s="119" t="s">
        <v>193</v>
      </c>
      <c r="G14" s="87" t="s">
        <v>33</v>
      </c>
      <c r="H14" s="87"/>
      <c r="I14" s="87" t="s">
        <v>112</v>
      </c>
      <c r="J14" s="88" t="s">
        <v>181</v>
      </c>
      <c r="M14" s="63">
        <v>64</v>
      </c>
    </row>
    <row r="15" spans="2:13" ht="12.75">
      <c r="B15" s="69"/>
      <c r="E15" s="5"/>
      <c r="F15" s="20" t="s">
        <v>22</v>
      </c>
      <c r="G15" s="59">
        <v>4</v>
      </c>
      <c r="H15" s="30">
        <v>4</v>
      </c>
      <c r="I15" s="68">
        <v>64</v>
      </c>
      <c r="J15" s="90"/>
      <c r="M15" s="63">
        <v>128</v>
      </c>
    </row>
    <row r="16" spans="1:13" ht="12.75">
      <c r="A16" s="2" t="s">
        <v>11</v>
      </c>
      <c r="B16" s="29">
        <v>0</v>
      </c>
      <c r="C16" s="3" t="s">
        <v>194</v>
      </c>
      <c r="F16" s="20" t="s">
        <v>108</v>
      </c>
      <c r="G16" s="59">
        <v>3</v>
      </c>
      <c r="H16" s="30">
        <v>0</v>
      </c>
      <c r="I16" s="16" t="s">
        <v>29</v>
      </c>
      <c r="J16" s="21"/>
      <c r="M16" s="63">
        <v>256</v>
      </c>
    </row>
    <row r="17" spans="1:13" ht="12.75">
      <c r="A17" s="2" t="s">
        <v>12</v>
      </c>
      <c r="B17" s="29">
        <v>0</v>
      </c>
      <c r="C17" s="2" t="s">
        <v>224</v>
      </c>
      <c r="F17" s="20" t="s">
        <v>109</v>
      </c>
      <c r="G17" s="59">
        <v>3</v>
      </c>
      <c r="H17" s="30">
        <v>0</v>
      </c>
      <c r="I17" s="16" t="s">
        <v>30</v>
      </c>
      <c r="J17" s="97"/>
      <c r="M17" s="63">
        <v>512</v>
      </c>
    </row>
    <row r="18" spans="1:13" ht="12.75">
      <c r="A18" s="2" t="s">
        <v>126</v>
      </c>
      <c r="B18" s="103">
        <f>SUM(B16:B17)</f>
        <v>0</v>
      </c>
      <c r="C18" s="3" t="s">
        <v>31</v>
      </c>
      <c r="F18" s="120"/>
      <c r="G18" s="121" t="s">
        <v>28</v>
      </c>
      <c r="H18" s="13">
        <f>SUM(H15:H17)</f>
        <v>4</v>
      </c>
      <c r="I18" s="122">
        <f>I15*1000/H18</f>
        <v>16000</v>
      </c>
      <c r="J18" s="111">
        <f>D8*H4*24*30/I18</f>
        <v>0.27</v>
      </c>
      <c r="M18" s="63">
        <v>1024</v>
      </c>
    </row>
    <row r="19" spans="6:13" ht="12.75">
      <c r="F19" s="5"/>
      <c r="G19" s="16"/>
      <c r="H19" s="16"/>
      <c r="I19" s="15"/>
      <c r="J19" s="16"/>
      <c r="M19" s="63">
        <v>2048</v>
      </c>
    </row>
    <row r="20" spans="1:13" ht="12.75">
      <c r="A20" s="1" t="s">
        <v>0</v>
      </c>
      <c r="B20" s="1"/>
      <c r="C20" s="1"/>
      <c r="D20" s="1"/>
      <c r="I20" s="15"/>
      <c r="J20" s="16"/>
      <c r="M20" s="63">
        <v>4096</v>
      </c>
    </row>
    <row r="21" spans="1:13" ht="12.75">
      <c r="A21" s="2">
        <v>5E-05</v>
      </c>
      <c r="B21" s="2">
        <v>3600</v>
      </c>
      <c r="C21" s="2">
        <f>A21*B21</f>
        <v>0.18000000000000002</v>
      </c>
      <c r="I21" s="15"/>
      <c r="J21" s="16"/>
      <c r="M21" s="63">
        <v>8192</v>
      </c>
    </row>
    <row r="22" spans="1:3" ht="12.75">
      <c r="A22" s="5" t="s">
        <v>2</v>
      </c>
      <c r="B22" s="5" t="s">
        <v>5</v>
      </c>
      <c r="C22" s="5" t="s">
        <v>4</v>
      </c>
    </row>
    <row r="23" spans="6:8" ht="12.75">
      <c r="F23" s="25"/>
      <c r="G23" s="27"/>
      <c r="H23" s="27"/>
    </row>
    <row r="24" spans="1:10" s="1" customFormat="1" ht="12.75">
      <c r="A24" s="1" t="s">
        <v>226</v>
      </c>
      <c r="B24" s="2"/>
      <c r="C24" s="2"/>
      <c r="D24" s="2"/>
      <c r="F24" s="2"/>
      <c r="G24" s="7"/>
      <c r="H24" s="7"/>
      <c r="I24" s="10"/>
      <c r="J24" s="7"/>
    </row>
    <row r="25" spans="1:10" s="1" customFormat="1" ht="12.75">
      <c r="A25" s="26" t="s">
        <v>38</v>
      </c>
      <c r="B25" s="2"/>
      <c r="C25" s="2"/>
      <c r="D25" s="2"/>
      <c r="F25" s="2"/>
      <c r="G25" s="7"/>
      <c r="H25" s="7"/>
      <c r="I25" s="10"/>
      <c r="J25" s="7"/>
    </row>
    <row r="26" spans="1:10" ht="12.75">
      <c r="A26" s="37" t="s">
        <v>43</v>
      </c>
      <c r="I26" s="28"/>
      <c r="J26" s="27"/>
    </row>
    <row r="27" spans="1:4" ht="12.75">
      <c r="A27" s="26" t="s">
        <v>39</v>
      </c>
      <c r="B27" s="25"/>
      <c r="C27" s="25"/>
      <c r="D27" s="25"/>
    </row>
    <row r="28" spans="1:2" ht="12.75">
      <c r="A28" s="26" t="s">
        <v>225</v>
      </c>
      <c r="B28" s="3"/>
    </row>
    <row r="29" ht="12.75">
      <c r="A29" s="26"/>
    </row>
    <row r="30" ht="12.75">
      <c r="A30" s="26"/>
    </row>
    <row r="31" spans="2:10" s="25" customFormat="1" ht="12.75">
      <c r="B31" s="2"/>
      <c r="C31" s="2"/>
      <c r="D31" s="2"/>
      <c r="F31" s="2"/>
      <c r="G31" s="7"/>
      <c r="H31" s="7"/>
      <c r="I31" s="10"/>
      <c r="J31" s="7"/>
    </row>
  </sheetData>
  <sheetProtection sheet="1" objects="1" scenarios="1" selectLockedCells="1"/>
  <dataValidations count="1">
    <dataValidation type="list" allowBlank="1" showInputMessage="1" showErrorMessage="1" sqref="I15">
      <formula1>$M$14:$M$21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5"/>
  </sheetPr>
  <dimension ref="A1:P38"/>
  <sheetViews>
    <sheetView workbookViewId="0" topLeftCell="A1">
      <selection activeCell="F1" sqref="F1"/>
    </sheetView>
  </sheetViews>
  <sheetFormatPr defaultColWidth="9.140625" defaultRowHeight="12.75"/>
  <cols>
    <col min="1" max="1" width="17.28125" style="2" customWidth="1"/>
    <col min="2" max="2" width="20.8515625" style="2" customWidth="1"/>
    <col min="3" max="3" width="19.57421875" style="2" customWidth="1"/>
    <col min="4" max="4" width="15.28125" style="2" customWidth="1"/>
    <col min="5" max="5" width="17.421875" style="2" customWidth="1"/>
    <col min="6" max="6" width="14.28125" style="2" customWidth="1"/>
    <col min="7" max="7" width="8.140625" style="7" customWidth="1"/>
    <col min="8" max="8" width="7.00390625" style="7" customWidth="1"/>
    <col min="9" max="9" width="9.2812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106</v>
      </c>
      <c r="C1" s="35" t="s">
        <v>128</v>
      </c>
      <c r="E1" s="2" t="s">
        <v>41</v>
      </c>
      <c r="F1" s="29">
        <v>20</v>
      </c>
      <c r="G1" s="3" t="s">
        <v>37</v>
      </c>
      <c r="H1" s="2"/>
      <c r="I1" s="2"/>
      <c r="J1" s="2"/>
    </row>
    <row r="2" spans="1:10" ht="12.75">
      <c r="A2" s="3" t="s">
        <v>34</v>
      </c>
      <c r="B2" s="5"/>
      <c r="C2" s="78" t="s">
        <v>139</v>
      </c>
      <c r="E2" s="6" t="s">
        <v>36</v>
      </c>
      <c r="G2" s="38" t="s">
        <v>40</v>
      </c>
      <c r="H2" s="2"/>
      <c r="I2" s="2"/>
      <c r="J2" s="2"/>
    </row>
    <row r="3" spans="1:16" ht="12.75">
      <c r="A3" s="3"/>
      <c r="B3" s="5"/>
      <c r="C3" s="81"/>
      <c r="E3" s="6"/>
      <c r="G3" s="38"/>
      <c r="H3" s="2"/>
      <c r="I3" s="2"/>
      <c r="J3" s="2"/>
      <c r="L3" s="63"/>
      <c r="M3" s="63"/>
      <c r="N3" s="63"/>
      <c r="O3" s="63"/>
      <c r="P3" s="63"/>
    </row>
    <row r="4" spans="1:16" ht="12.75">
      <c r="A4" s="3"/>
      <c r="B4" s="5"/>
      <c r="C4" s="81"/>
      <c r="E4" s="6"/>
      <c r="F4" s="82"/>
      <c r="G4" s="51" t="s">
        <v>176</v>
      </c>
      <c r="H4" s="83">
        <v>3</v>
      </c>
      <c r="I4" s="84" t="s">
        <v>177</v>
      </c>
      <c r="J4" s="82"/>
      <c r="L4" s="63"/>
      <c r="M4" s="63"/>
      <c r="N4" s="63"/>
      <c r="O4" s="63"/>
      <c r="P4" s="63"/>
    </row>
    <row r="5" spans="6:16" ht="12.75">
      <c r="F5" s="5"/>
      <c r="G5" s="16"/>
      <c r="H5" s="16"/>
      <c r="I5" s="15"/>
      <c r="J5" s="16"/>
      <c r="L5" s="63"/>
      <c r="M5" s="63"/>
      <c r="N5" s="63"/>
      <c r="O5" s="63"/>
      <c r="P5" s="63"/>
    </row>
    <row r="6" spans="1:16" ht="12.75">
      <c r="A6" s="3" t="s">
        <v>135</v>
      </c>
      <c r="D6" s="6"/>
      <c r="F6" s="85" t="s">
        <v>179</v>
      </c>
      <c r="G6" s="86" t="s">
        <v>180</v>
      </c>
      <c r="H6" s="87"/>
      <c r="I6" s="87" t="s">
        <v>20</v>
      </c>
      <c r="J6" s="88" t="s">
        <v>181</v>
      </c>
      <c r="L6" s="63"/>
      <c r="M6" s="63"/>
      <c r="N6" s="63"/>
      <c r="O6" s="63"/>
      <c r="P6" s="63"/>
    </row>
    <row r="7" spans="1:16" s="3" customFormat="1" ht="12.75">
      <c r="A7" s="3" t="s">
        <v>116</v>
      </c>
      <c r="F7" s="89" t="s">
        <v>15</v>
      </c>
      <c r="G7" s="16" t="s">
        <v>183</v>
      </c>
      <c r="H7" s="16" t="s">
        <v>184</v>
      </c>
      <c r="I7" s="16"/>
      <c r="J7" s="90"/>
      <c r="L7" s="113"/>
      <c r="M7" s="113"/>
      <c r="N7" s="113"/>
      <c r="O7" s="113"/>
      <c r="P7" s="113"/>
    </row>
    <row r="8" spans="1:16" ht="12.75">
      <c r="A8" s="2">
        <v>0.18</v>
      </c>
      <c r="B8" s="29">
        <v>20</v>
      </c>
      <c r="C8" s="4">
        <f>((A8+(B25/1000))*B8)+(A10*(B8-0.3))+(B21/1000*120)</f>
        <v>10.391200000000001</v>
      </c>
      <c r="D8" s="29">
        <v>1</v>
      </c>
      <c r="E8" s="4">
        <f>C8*D8+C28</f>
        <v>10.571200000000001</v>
      </c>
      <c r="F8" s="29">
        <v>10.5</v>
      </c>
      <c r="G8" s="92">
        <f>((F1+20)/40)*F8*150/E8</f>
        <v>148.98970788557588</v>
      </c>
      <c r="H8" s="93">
        <f>G8/30</f>
        <v>4.9663235961858625</v>
      </c>
      <c r="I8" s="92">
        <f>G8*D8*24</f>
        <v>3575.7529892538214</v>
      </c>
      <c r="J8" s="94">
        <f>D8*H4*24*30/I8</f>
        <v>0.6040685714285715</v>
      </c>
      <c r="L8" s="63"/>
      <c r="M8" s="63"/>
      <c r="N8" s="63"/>
      <c r="O8" s="63"/>
      <c r="P8" s="63"/>
    </row>
    <row r="9" spans="1:16" ht="12.75">
      <c r="A9" s="2" t="s">
        <v>2</v>
      </c>
      <c r="B9" s="2" t="s">
        <v>3</v>
      </c>
      <c r="C9" s="5" t="s">
        <v>4</v>
      </c>
      <c r="D9" s="2" t="s">
        <v>6</v>
      </c>
      <c r="E9" s="5" t="s">
        <v>7</v>
      </c>
      <c r="F9" s="95" t="s">
        <v>186</v>
      </c>
      <c r="G9" s="96"/>
      <c r="H9" s="16"/>
      <c r="I9" s="15"/>
      <c r="J9" s="97"/>
      <c r="L9" s="63"/>
      <c r="M9" s="63"/>
      <c r="N9" s="63"/>
      <c r="O9" s="63"/>
      <c r="P9" s="63"/>
    </row>
    <row r="10" spans="1:16" ht="12.75">
      <c r="A10" s="10">
        <v>0.296</v>
      </c>
      <c r="B10" s="11" t="s">
        <v>120</v>
      </c>
      <c r="C10" s="4"/>
      <c r="E10" s="2" t="s">
        <v>32</v>
      </c>
      <c r="F10" s="99" t="s">
        <v>188</v>
      </c>
      <c r="G10" s="100"/>
      <c r="H10" s="13"/>
      <c r="I10" s="14"/>
      <c r="J10" s="101"/>
      <c r="L10" s="63"/>
      <c r="M10" s="63"/>
      <c r="N10" s="63"/>
      <c r="O10" s="63"/>
      <c r="P10" s="63"/>
    </row>
    <row r="11" spans="1:16" ht="12.75">
      <c r="A11" s="10"/>
      <c r="B11" s="11"/>
      <c r="C11" s="4"/>
      <c r="G11" s="17"/>
      <c r="J11" s="17"/>
      <c r="L11" s="63"/>
      <c r="M11" s="63"/>
      <c r="N11" s="63"/>
      <c r="O11" s="63"/>
      <c r="P11" s="63"/>
    </row>
    <row r="12" spans="3:16" ht="12.75">
      <c r="C12" s="4"/>
      <c r="G12" s="17"/>
      <c r="J12" s="17"/>
      <c r="L12" s="63"/>
      <c r="M12" s="63"/>
      <c r="N12" s="63"/>
      <c r="O12" s="63"/>
      <c r="P12" s="63"/>
    </row>
    <row r="13" spans="1:16" ht="12.75">
      <c r="A13" s="3" t="s">
        <v>135</v>
      </c>
      <c r="D13" s="6"/>
      <c r="F13" s="85" t="s">
        <v>179</v>
      </c>
      <c r="G13" s="86" t="s">
        <v>180</v>
      </c>
      <c r="H13" s="87"/>
      <c r="I13" s="87" t="s">
        <v>20</v>
      </c>
      <c r="J13" s="88" t="s">
        <v>181</v>
      </c>
      <c r="L13" s="63"/>
      <c r="M13" s="63"/>
      <c r="N13" s="63"/>
      <c r="O13" s="63"/>
      <c r="P13" s="63"/>
    </row>
    <row r="14" spans="1:16" s="3" customFormat="1" ht="12.75">
      <c r="A14" s="3" t="s">
        <v>117</v>
      </c>
      <c r="F14" s="89" t="s">
        <v>15</v>
      </c>
      <c r="G14" s="16" t="s">
        <v>183</v>
      </c>
      <c r="H14" s="16" t="s">
        <v>184</v>
      </c>
      <c r="I14" s="16"/>
      <c r="J14" s="90"/>
      <c r="L14" s="113"/>
      <c r="M14" s="113"/>
      <c r="N14" s="113"/>
      <c r="O14" s="113"/>
      <c r="P14" s="113"/>
    </row>
    <row r="15" spans="1:16" ht="12.75">
      <c r="A15" s="2">
        <v>0.245</v>
      </c>
      <c r="B15" s="29">
        <v>20</v>
      </c>
      <c r="C15" s="4">
        <f>((A15+(B25/1000))*B15)+(A17*(B15-0.4))+(B21/1000*120)</f>
        <v>11.6616</v>
      </c>
      <c r="D15" s="29">
        <v>1</v>
      </c>
      <c r="E15" s="4">
        <f>C15*D15+C28</f>
        <v>11.8416</v>
      </c>
      <c r="F15" s="29">
        <v>10.5</v>
      </c>
      <c r="G15" s="92">
        <f>((F1+20)/40)*F15*150/E15</f>
        <v>133.00567490879612</v>
      </c>
      <c r="H15" s="93">
        <f>G15/30</f>
        <v>4.4335224969598706</v>
      </c>
      <c r="I15" s="92">
        <f>G15*D15*24</f>
        <v>3192.136197811107</v>
      </c>
      <c r="J15" s="94">
        <f>D15*H4*24*30/I15</f>
        <v>0.676662857142857</v>
      </c>
      <c r="L15" s="63"/>
      <c r="M15" s="63"/>
      <c r="N15" s="63"/>
      <c r="O15" s="63"/>
      <c r="P15" s="63"/>
    </row>
    <row r="16" spans="1:16" ht="12.75">
      <c r="A16" s="2" t="s">
        <v>2</v>
      </c>
      <c r="B16" s="2" t="s">
        <v>3</v>
      </c>
      <c r="C16" s="5" t="s">
        <v>4</v>
      </c>
      <c r="D16" s="2" t="s">
        <v>6</v>
      </c>
      <c r="E16" s="5" t="s">
        <v>7</v>
      </c>
      <c r="F16" s="95" t="s">
        <v>186</v>
      </c>
      <c r="G16" s="96"/>
      <c r="H16" s="16"/>
      <c r="I16" s="15"/>
      <c r="J16" s="97"/>
      <c r="L16" s="63"/>
      <c r="M16" s="63"/>
      <c r="N16" s="63"/>
      <c r="O16" s="63"/>
      <c r="P16" s="63"/>
    </row>
    <row r="17" spans="1:16" ht="12.75">
      <c r="A17" s="10">
        <v>0.296</v>
      </c>
      <c r="B17" s="11" t="s">
        <v>120</v>
      </c>
      <c r="C17" s="4"/>
      <c r="E17" s="2" t="s">
        <v>32</v>
      </c>
      <c r="F17" s="99" t="s">
        <v>188</v>
      </c>
      <c r="G17" s="100"/>
      <c r="H17" s="13"/>
      <c r="I17" s="14"/>
      <c r="J17" s="101"/>
      <c r="L17" s="63"/>
      <c r="M17" s="63">
        <v>64</v>
      </c>
      <c r="N17" s="63"/>
      <c r="O17" s="63"/>
      <c r="P17" s="63"/>
    </row>
    <row r="18" spans="1:16" ht="12.75">
      <c r="A18" s="10"/>
      <c r="B18" s="11"/>
      <c r="C18" s="4"/>
      <c r="F18" s="47"/>
      <c r="G18" s="96"/>
      <c r="H18" s="16"/>
      <c r="I18" s="15"/>
      <c r="J18" s="123"/>
      <c r="L18" s="63"/>
      <c r="M18" s="63">
        <v>128</v>
      </c>
      <c r="N18" s="63"/>
      <c r="O18" s="63"/>
      <c r="P18" s="63"/>
    </row>
    <row r="19" spans="3:16" ht="12.75">
      <c r="C19" s="4"/>
      <c r="F19" s="47"/>
      <c r="G19" s="96"/>
      <c r="H19" s="16"/>
      <c r="I19" s="15"/>
      <c r="J19" s="123"/>
      <c r="L19" s="63"/>
      <c r="M19" s="63">
        <v>256</v>
      </c>
      <c r="N19" s="63"/>
      <c r="O19" s="63"/>
      <c r="P19" s="63"/>
    </row>
    <row r="20" spans="1:16" ht="12.75">
      <c r="A20" s="2" t="s">
        <v>9</v>
      </c>
      <c r="E20" s="3"/>
      <c r="L20" s="63"/>
      <c r="M20" s="63">
        <v>512</v>
      </c>
      <c r="N20" s="63"/>
      <c r="O20" s="63"/>
      <c r="P20" s="63"/>
    </row>
    <row r="21" spans="1:16" ht="12.75">
      <c r="A21" s="2" t="s">
        <v>125</v>
      </c>
      <c r="B21" s="69">
        <v>8</v>
      </c>
      <c r="C21" s="3" t="s">
        <v>31</v>
      </c>
      <c r="E21" s="4"/>
      <c r="F21" s="3"/>
      <c r="G21" s="9"/>
      <c r="H21" s="9"/>
      <c r="I21" s="11"/>
      <c r="J21" s="9"/>
      <c r="L21" s="63"/>
      <c r="M21" s="63">
        <v>1024</v>
      </c>
      <c r="N21" s="63"/>
      <c r="O21" s="63"/>
      <c r="P21" s="63"/>
    </row>
    <row r="22" spans="2:16" ht="12.75">
      <c r="B22" s="69"/>
      <c r="E22" s="5"/>
      <c r="F22" s="124" t="s">
        <v>193</v>
      </c>
      <c r="G22" s="126" t="s">
        <v>33</v>
      </c>
      <c r="H22" s="87"/>
      <c r="I22" s="19" t="s">
        <v>112</v>
      </c>
      <c r="J22" s="88" t="s">
        <v>181</v>
      </c>
      <c r="L22" s="63"/>
      <c r="M22" s="63">
        <v>2048</v>
      </c>
      <c r="N22" s="63"/>
      <c r="O22" s="63"/>
      <c r="P22" s="63"/>
    </row>
    <row r="23" spans="1:16" ht="12.75">
      <c r="A23" s="2" t="s">
        <v>11</v>
      </c>
      <c r="B23" s="29">
        <v>0</v>
      </c>
      <c r="C23" s="3" t="s">
        <v>194</v>
      </c>
      <c r="F23" s="20" t="s">
        <v>22</v>
      </c>
      <c r="G23" s="16">
        <v>4</v>
      </c>
      <c r="H23" s="30">
        <v>4</v>
      </c>
      <c r="I23" s="68">
        <v>256</v>
      </c>
      <c r="J23" s="21"/>
      <c r="L23" s="63"/>
      <c r="M23" s="63">
        <v>4096</v>
      </c>
      <c r="N23" s="63"/>
      <c r="O23" s="63"/>
      <c r="P23" s="63"/>
    </row>
    <row r="24" spans="1:16" ht="12.75">
      <c r="A24" s="2" t="s">
        <v>12</v>
      </c>
      <c r="B24" s="29">
        <v>0</v>
      </c>
      <c r="C24" s="2" t="s">
        <v>224</v>
      </c>
      <c r="F24" s="20" t="s">
        <v>114</v>
      </c>
      <c r="G24" s="16">
        <v>2</v>
      </c>
      <c r="H24" s="30">
        <v>2</v>
      </c>
      <c r="J24" s="21"/>
      <c r="L24" s="63"/>
      <c r="M24" s="63">
        <v>8192</v>
      </c>
      <c r="N24" s="63"/>
      <c r="O24" s="63"/>
      <c r="P24" s="63"/>
    </row>
    <row r="25" spans="1:16" ht="12.75">
      <c r="A25" s="2" t="s">
        <v>126</v>
      </c>
      <c r="B25" s="103">
        <f>SUM(B23:B24)</f>
        <v>0</v>
      </c>
      <c r="C25" s="3" t="s">
        <v>31</v>
      </c>
      <c r="F25" s="20" t="s">
        <v>115</v>
      </c>
      <c r="G25" s="16">
        <v>5</v>
      </c>
      <c r="H25" s="30">
        <v>0</v>
      </c>
      <c r="J25" s="109" t="s">
        <v>228</v>
      </c>
      <c r="L25" s="63"/>
      <c r="M25" s="63"/>
      <c r="N25" s="63"/>
      <c r="O25" s="63"/>
      <c r="P25" s="63"/>
    </row>
    <row r="26" spans="6:16" ht="12.75">
      <c r="F26" s="20" t="s">
        <v>108</v>
      </c>
      <c r="G26" s="16">
        <v>3</v>
      </c>
      <c r="H26" s="30">
        <v>0</v>
      </c>
      <c r="I26" s="16" t="s">
        <v>111</v>
      </c>
      <c r="J26" s="94">
        <f>D8*H4*24*30/I28</f>
        <v>0.050625</v>
      </c>
      <c r="L26" s="63"/>
      <c r="M26" s="63"/>
      <c r="N26" s="63"/>
      <c r="O26" s="63"/>
      <c r="P26" s="63"/>
    </row>
    <row r="27" spans="1:16" s="1" customFormat="1" ht="12.75">
      <c r="A27" s="1" t="s">
        <v>0</v>
      </c>
      <c r="D27" s="2"/>
      <c r="F27" s="23" t="s">
        <v>109</v>
      </c>
      <c r="G27" s="13">
        <v>3</v>
      </c>
      <c r="H27" s="30">
        <v>0</v>
      </c>
      <c r="I27" s="125" t="s">
        <v>30</v>
      </c>
      <c r="J27" s="109" t="s">
        <v>227</v>
      </c>
      <c r="L27" s="76"/>
      <c r="M27" s="76"/>
      <c r="N27" s="76"/>
      <c r="O27" s="76"/>
      <c r="P27" s="76"/>
    </row>
    <row r="28" spans="1:16" s="1" customFormat="1" ht="12.75">
      <c r="A28" s="2">
        <v>5E-05</v>
      </c>
      <c r="B28" s="2">
        <v>3600</v>
      </c>
      <c r="C28" s="2">
        <f>A28*B28</f>
        <v>0.18000000000000002</v>
      </c>
      <c r="D28" s="2"/>
      <c r="F28" s="24" t="s">
        <v>28</v>
      </c>
      <c r="G28" s="13"/>
      <c r="H28" s="13">
        <f>SUM(H23:H27)</f>
        <v>6</v>
      </c>
      <c r="I28" s="122">
        <f>I23*1000/H28</f>
        <v>42666.666666666664</v>
      </c>
      <c r="J28" s="111">
        <f>D15*H4*24*30/I28</f>
        <v>0.050625</v>
      </c>
      <c r="L28" s="76"/>
      <c r="M28" s="76"/>
      <c r="N28" s="76"/>
      <c r="O28" s="76"/>
      <c r="P28" s="76"/>
    </row>
    <row r="29" spans="1:16" ht="12.75">
      <c r="A29" s="5" t="s">
        <v>2</v>
      </c>
      <c r="B29" s="5" t="s">
        <v>5</v>
      </c>
      <c r="C29" s="5" t="s">
        <v>4</v>
      </c>
      <c r="I29" s="28"/>
      <c r="J29" s="27"/>
      <c r="L29" s="63"/>
      <c r="M29" s="63"/>
      <c r="N29" s="63"/>
      <c r="O29" s="63"/>
      <c r="P29" s="63"/>
    </row>
    <row r="30" ht="12.75">
      <c r="D30" s="25"/>
    </row>
    <row r="31" ht="12.75">
      <c r="A31" s="1" t="s">
        <v>110</v>
      </c>
    </row>
    <row r="32" ht="12.75">
      <c r="A32" s="3" t="s">
        <v>113</v>
      </c>
    </row>
    <row r="33" ht="12.75">
      <c r="A33" s="3"/>
    </row>
    <row r="34" spans="1:10" s="25" customFormat="1" ht="12.75">
      <c r="A34" s="26" t="s">
        <v>38</v>
      </c>
      <c r="D34" s="2"/>
      <c r="F34" s="2"/>
      <c r="G34" s="7"/>
      <c r="H34" s="7"/>
      <c r="I34" s="10"/>
      <c r="J34" s="7"/>
    </row>
    <row r="35" spans="1:2" ht="12.75">
      <c r="A35" s="37" t="s">
        <v>43</v>
      </c>
      <c r="B35" s="3"/>
    </row>
    <row r="36" ht="12.75">
      <c r="A36" s="26" t="s">
        <v>39</v>
      </c>
    </row>
    <row r="37" spans="1:10" s="25" customFormat="1" ht="12.75">
      <c r="A37" s="26" t="s">
        <v>124</v>
      </c>
      <c r="G37" s="27"/>
      <c r="H37" s="27"/>
      <c r="I37" s="28"/>
      <c r="J37" s="27"/>
    </row>
    <row r="38" ht="12.75">
      <c r="A38" s="25"/>
    </row>
  </sheetData>
  <sheetProtection sheet="1" objects="1" scenarios="1" selectLockedCells="1"/>
  <dataValidations count="1">
    <dataValidation type="list" allowBlank="1" showInputMessage="1" showErrorMessage="1" sqref="I23">
      <formula1>$M$17:$M$24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O32"/>
  <sheetViews>
    <sheetView workbookViewId="0" topLeftCell="A1">
      <selection activeCell="B10" sqref="B10"/>
    </sheetView>
  </sheetViews>
  <sheetFormatPr defaultColWidth="9.140625" defaultRowHeight="12.75"/>
  <cols>
    <col min="1" max="1" width="15.57421875" style="2" customWidth="1"/>
    <col min="2" max="2" width="20.140625" style="2" customWidth="1"/>
    <col min="3" max="3" width="15.57421875" style="2" customWidth="1"/>
    <col min="4" max="4" width="15.8515625" style="2" customWidth="1"/>
    <col min="5" max="5" width="20.00390625" style="2" customWidth="1"/>
    <col min="6" max="6" width="14.28125" style="2" customWidth="1"/>
    <col min="7" max="8" width="8.28125" style="7" customWidth="1"/>
    <col min="9" max="9" width="9.2812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1</v>
      </c>
      <c r="C1" s="35" t="s">
        <v>42</v>
      </c>
      <c r="E1" s="2" t="s">
        <v>41</v>
      </c>
      <c r="F1" s="29">
        <v>20</v>
      </c>
      <c r="G1" s="3" t="s">
        <v>37</v>
      </c>
      <c r="H1" s="2"/>
      <c r="I1" s="2"/>
      <c r="J1" s="2"/>
    </row>
    <row r="2" spans="1:10" ht="12.75">
      <c r="A2" s="3" t="s">
        <v>34</v>
      </c>
      <c r="B2" s="5"/>
      <c r="C2" s="78" t="s">
        <v>139</v>
      </c>
      <c r="E2" s="6" t="s">
        <v>36</v>
      </c>
      <c r="G2" s="38" t="s">
        <v>40</v>
      </c>
      <c r="H2" s="2"/>
      <c r="I2" s="2"/>
      <c r="J2" s="2"/>
    </row>
    <row r="3" spans="1:15" ht="12.75">
      <c r="A3" s="112"/>
      <c r="B3" s="5"/>
      <c r="C3" s="81"/>
      <c r="E3" s="6"/>
      <c r="G3" s="38"/>
      <c r="H3" s="2"/>
      <c r="I3" s="2"/>
      <c r="J3" s="2"/>
      <c r="M3" s="63"/>
      <c r="N3" s="63"/>
      <c r="O3" s="63"/>
    </row>
    <row r="4" spans="1:15" ht="12.75">
      <c r="A4" s="26"/>
      <c r="B4" s="5"/>
      <c r="C4" s="81"/>
      <c r="F4" s="51"/>
      <c r="G4" s="51" t="s">
        <v>176</v>
      </c>
      <c r="H4" s="83">
        <v>9</v>
      </c>
      <c r="I4" s="84" t="s">
        <v>177</v>
      </c>
      <c r="J4" s="82"/>
      <c r="M4" s="63">
        <f>IF(B10&lt;1,0.3,B10)</f>
        <v>1</v>
      </c>
      <c r="N4" s="63"/>
      <c r="O4" s="63"/>
    </row>
    <row r="5" spans="7:15" ht="12.75">
      <c r="G5" s="16"/>
      <c r="H5" s="16"/>
      <c r="I5" s="15"/>
      <c r="J5" s="16"/>
      <c r="M5" s="63"/>
      <c r="N5" s="63"/>
      <c r="O5" s="63"/>
    </row>
    <row r="6" spans="1:15" ht="12.75">
      <c r="A6" s="3" t="s">
        <v>198</v>
      </c>
      <c r="D6" s="6"/>
      <c r="F6" s="85" t="s">
        <v>179</v>
      </c>
      <c r="G6" s="86" t="s">
        <v>180</v>
      </c>
      <c r="H6" s="87"/>
      <c r="I6" s="87" t="s">
        <v>20</v>
      </c>
      <c r="J6" s="88" t="s">
        <v>181</v>
      </c>
      <c r="M6" s="63"/>
      <c r="N6" s="63"/>
      <c r="O6" s="63"/>
    </row>
    <row r="7" spans="2:15" s="3" customFormat="1" ht="12.75">
      <c r="B7" s="2" t="s">
        <v>182</v>
      </c>
      <c r="F7" s="89" t="s">
        <v>15</v>
      </c>
      <c r="G7" s="16" t="s">
        <v>183</v>
      </c>
      <c r="H7" s="16" t="s">
        <v>184</v>
      </c>
      <c r="I7" s="16"/>
      <c r="J7" s="90"/>
      <c r="M7" s="113"/>
      <c r="N7" s="113"/>
      <c r="O7" s="113"/>
    </row>
    <row r="8" spans="1:15" ht="12.75">
      <c r="A8" s="2">
        <v>0.065</v>
      </c>
      <c r="B8" s="91">
        <v>1</v>
      </c>
      <c r="C8" s="4">
        <f>(A8+(B20/1000))*B12</f>
        <v>0.20800000000000002</v>
      </c>
      <c r="D8" s="29">
        <v>20</v>
      </c>
      <c r="E8" s="4">
        <f>C8*D8+C23</f>
        <v>4.268</v>
      </c>
      <c r="F8" s="29">
        <v>12.2</v>
      </c>
      <c r="G8" s="92">
        <f>((F1+20)/40)*F8*150/E8</f>
        <v>428.7722586691659</v>
      </c>
      <c r="H8" s="93">
        <f>G8/30</f>
        <v>14.292408622305532</v>
      </c>
      <c r="I8" s="92">
        <f>G8*D8*24</f>
        <v>205810.68416119966</v>
      </c>
      <c r="J8" s="94">
        <f>D8*H4*24*30/I8</f>
        <v>0.6297049180327867</v>
      </c>
      <c r="M8" s="63"/>
      <c r="N8" s="63"/>
      <c r="O8" s="63"/>
    </row>
    <row r="9" spans="1:10" ht="12.75">
      <c r="A9" s="2" t="s">
        <v>2</v>
      </c>
      <c r="B9" s="2" t="s">
        <v>185</v>
      </c>
      <c r="C9" s="5" t="s">
        <v>4</v>
      </c>
      <c r="D9" s="2" t="s">
        <v>6</v>
      </c>
      <c r="E9" s="5" t="s">
        <v>7</v>
      </c>
      <c r="F9" s="95" t="s">
        <v>186</v>
      </c>
      <c r="G9" s="96"/>
      <c r="H9" s="16"/>
      <c r="I9" s="15"/>
      <c r="J9" s="97"/>
    </row>
    <row r="10" spans="1:10" ht="12.75">
      <c r="A10" s="2" t="s">
        <v>199</v>
      </c>
      <c r="B10" s="29">
        <v>1</v>
      </c>
      <c r="C10" s="62" t="s">
        <v>200</v>
      </c>
      <c r="E10" s="2" t="s">
        <v>187</v>
      </c>
      <c r="F10" s="99" t="s">
        <v>188</v>
      </c>
      <c r="G10" s="100"/>
      <c r="H10" s="13"/>
      <c r="I10" s="14"/>
      <c r="J10" s="101"/>
    </row>
    <row r="11" spans="2:10" ht="12.75">
      <c r="B11" s="2" t="s">
        <v>201</v>
      </c>
      <c r="C11" s="4"/>
      <c r="D11" s="2">
        <f>60/D8</f>
        <v>3</v>
      </c>
      <c r="E11" s="3" t="s">
        <v>190</v>
      </c>
      <c r="F11" s="3"/>
      <c r="G11" s="17"/>
      <c r="J11" s="102"/>
    </row>
    <row r="12" spans="2:10" ht="12.75">
      <c r="B12" s="98">
        <f>2.2+(0.25*(B8-1))+M4</f>
        <v>3.2</v>
      </c>
      <c r="C12" s="4"/>
      <c r="D12" s="103">
        <f>3600/D8</f>
        <v>180</v>
      </c>
      <c r="E12" s="3" t="s">
        <v>191</v>
      </c>
      <c r="J12" s="8"/>
    </row>
    <row r="13" spans="1:4" s="3" customFormat="1" ht="12.75">
      <c r="A13" s="2"/>
      <c r="B13" s="2" t="s">
        <v>189</v>
      </c>
      <c r="C13" s="4"/>
      <c r="D13" s="104" t="s">
        <v>192</v>
      </c>
    </row>
    <row r="14" spans="5:10" ht="12.75">
      <c r="E14" s="4"/>
      <c r="F14" s="85" t="s">
        <v>193</v>
      </c>
      <c r="G14" s="18"/>
      <c r="H14" s="107" t="s">
        <v>33</v>
      </c>
      <c r="I14" s="130" t="s">
        <v>29</v>
      </c>
      <c r="J14" s="108"/>
    </row>
    <row r="15" spans="1:10" ht="12.75">
      <c r="A15" s="2" t="s">
        <v>9</v>
      </c>
      <c r="E15" s="5"/>
      <c r="F15" s="20" t="s">
        <v>22</v>
      </c>
      <c r="G15" s="16">
        <v>6</v>
      </c>
      <c r="H15" s="30">
        <v>6</v>
      </c>
      <c r="I15" s="125" t="s">
        <v>30</v>
      </c>
      <c r="J15" s="90"/>
    </row>
    <row r="16" spans="1:10" ht="12.75">
      <c r="A16" s="2" t="s">
        <v>14</v>
      </c>
      <c r="B16" s="29">
        <v>0</v>
      </c>
      <c r="C16" s="3" t="s">
        <v>194</v>
      </c>
      <c r="F16" s="20" t="s">
        <v>23</v>
      </c>
      <c r="G16" s="16">
        <v>5</v>
      </c>
      <c r="H16" s="30">
        <v>0</v>
      </c>
      <c r="I16" s="134">
        <f>8000000/H27</f>
        <v>500000</v>
      </c>
      <c r="J16" s="90"/>
    </row>
    <row r="17" spans="1:10" ht="12.75">
      <c r="A17" s="2" t="s">
        <v>10</v>
      </c>
      <c r="B17" s="29">
        <v>0</v>
      </c>
      <c r="C17" s="3" t="s">
        <v>195</v>
      </c>
      <c r="F17" s="20" t="s">
        <v>269</v>
      </c>
      <c r="G17" s="16">
        <v>6</v>
      </c>
      <c r="H17" s="30">
        <v>6</v>
      </c>
      <c r="I17" s="125"/>
      <c r="J17" s="90"/>
    </row>
    <row r="18" spans="1:10" ht="12.75">
      <c r="A18" s="2" t="s">
        <v>11</v>
      </c>
      <c r="B18" s="29">
        <v>0</v>
      </c>
      <c r="F18" s="20" t="s">
        <v>14</v>
      </c>
      <c r="G18" s="16">
        <v>2</v>
      </c>
      <c r="H18" s="30">
        <v>0</v>
      </c>
      <c r="I18" s="125"/>
      <c r="J18" s="90"/>
    </row>
    <row r="19" spans="1:10" ht="12.75">
      <c r="A19" s="2" t="s">
        <v>12</v>
      </c>
      <c r="B19" s="29">
        <v>0</v>
      </c>
      <c r="F19" s="20" t="s">
        <v>10</v>
      </c>
      <c r="G19" s="16">
        <v>2</v>
      </c>
      <c r="H19" s="30">
        <v>0</v>
      </c>
      <c r="I19" s="125"/>
      <c r="J19" s="90"/>
    </row>
    <row r="20" spans="1:10" ht="12.75">
      <c r="A20" s="2" t="s">
        <v>13</v>
      </c>
      <c r="B20" s="98">
        <f>SUM(B16:B19)</f>
        <v>0</v>
      </c>
      <c r="C20" s="3" t="s">
        <v>31</v>
      </c>
      <c r="F20" s="20" t="s">
        <v>11</v>
      </c>
      <c r="G20" s="16">
        <v>2</v>
      </c>
      <c r="H20" s="30">
        <v>0</v>
      </c>
      <c r="I20" s="125"/>
      <c r="J20" s="90"/>
    </row>
    <row r="21" spans="4:10" ht="12.75">
      <c r="D21" s="1"/>
      <c r="F21" s="20" t="s">
        <v>12</v>
      </c>
      <c r="G21" s="16">
        <v>2</v>
      </c>
      <c r="H21" s="30">
        <v>0</v>
      </c>
      <c r="I21" s="125"/>
      <c r="J21" s="90"/>
    </row>
    <row r="22" spans="1:10" ht="12.75">
      <c r="A22" s="1" t="s">
        <v>0</v>
      </c>
      <c r="B22" s="1"/>
      <c r="C22" s="1"/>
      <c r="F22" s="20" t="s">
        <v>24</v>
      </c>
      <c r="G22" s="16">
        <v>3</v>
      </c>
      <c r="H22" s="30">
        <v>0</v>
      </c>
      <c r="I22" s="125"/>
      <c r="J22" s="90"/>
    </row>
    <row r="23" spans="1:10" ht="12.75">
      <c r="A23" s="2">
        <v>3E-05</v>
      </c>
      <c r="B23" s="2">
        <v>3600</v>
      </c>
      <c r="C23" s="2">
        <f>A23*B23</f>
        <v>0.108</v>
      </c>
      <c r="F23" s="20" t="s">
        <v>25</v>
      </c>
      <c r="G23" s="22">
        <v>4</v>
      </c>
      <c r="H23" s="31">
        <v>4</v>
      </c>
      <c r="I23" s="125"/>
      <c r="J23" s="90"/>
    </row>
    <row r="24" spans="1:10" s="1" customFormat="1" ht="12.75">
      <c r="A24" s="5" t="s">
        <v>2</v>
      </c>
      <c r="B24" s="5" t="s">
        <v>5</v>
      </c>
      <c r="C24" s="5" t="s">
        <v>4</v>
      </c>
      <c r="D24" s="2"/>
      <c r="F24" s="20" t="s">
        <v>26</v>
      </c>
      <c r="G24" s="16">
        <v>7</v>
      </c>
      <c r="H24" s="30">
        <v>0</v>
      </c>
      <c r="I24" s="125"/>
      <c r="J24" s="90"/>
    </row>
    <row r="25" spans="6:10" ht="12.75">
      <c r="F25" s="20" t="s">
        <v>27</v>
      </c>
      <c r="G25" s="16">
        <v>7</v>
      </c>
      <c r="H25" s="30">
        <v>0</v>
      </c>
      <c r="I25" s="125"/>
      <c r="J25" s="90"/>
    </row>
    <row r="26" spans="1:10" ht="12.75">
      <c r="A26" s="3"/>
      <c r="F26" s="23" t="s">
        <v>27</v>
      </c>
      <c r="G26" s="13">
        <v>7</v>
      </c>
      <c r="H26" s="30">
        <v>0</v>
      </c>
      <c r="I26" s="132"/>
      <c r="J26" s="109" t="s">
        <v>181</v>
      </c>
    </row>
    <row r="27" spans="2:10" ht="12.75">
      <c r="B27" s="25"/>
      <c r="C27" s="25"/>
      <c r="F27" s="24" t="s">
        <v>28</v>
      </c>
      <c r="G27" s="13"/>
      <c r="H27" s="110">
        <f>SUM(H15:H26)</f>
        <v>16</v>
      </c>
      <c r="I27" s="133"/>
      <c r="J27" s="111">
        <f>D8*H4*24*30/I16</f>
        <v>0.2592</v>
      </c>
    </row>
    <row r="28" ht="12.75">
      <c r="B28" s="3"/>
    </row>
    <row r="29" spans="1:10" ht="12.75">
      <c r="A29" s="26" t="s">
        <v>38</v>
      </c>
      <c r="F29" s="25"/>
      <c r="G29" s="25"/>
      <c r="H29" s="25"/>
      <c r="I29" s="25"/>
      <c r="J29" s="25"/>
    </row>
    <row r="30" spans="1:10" s="25" customFormat="1" ht="12.75">
      <c r="A30" s="37" t="s">
        <v>202</v>
      </c>
      <c r="B30" s="2"/>
      <c r="C30" s="2"/>
      <c r="D30" s="2"/>
      <c r="F30" s="2"/>
      <c r="G30" s="7"/>
      <c r="H30" s="7"/>
      <c r="I30" s="10"/>
      <c r="J30" s="7"/>
    </row>
    <row r="31" ht="12.75">
      <c r="A31" s="26" t="s">
        <v>39</v>
      </c>
    </row>
    <row r="32" spans="1:10" ht="12.75">
      <c r="A32" s="26" t="s">
        <v>197</v>
      </c>
      <c r="I32" s="28"/>
      <c r="J32" s="27"/>
    </row>
  </sheetData>
  <sheetProtection sheet="1" objects="1" scenarios="1" selectLockedCells="1"/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O35"/>
  <sheetViews>
    <sheetView workbookViewId="0" topLeftCell="A1">
      <selection activeCell="H15" sqref="H15"/>
    </sheetView>
  </sheetViews>
  <sheetFormatPr defaultColWidth="9.140625" defaultRowHeight="12.75"/>
  <cols>
    <col min="1" max="1" width="17.28125" style="2" customWidth="1"/>
    <col min="2" max="2" width="20.140625" style="2" customWidth="1"/>
    <col min="3" max="3" width="16.8515625" style="2" customWidth="1"/>
    <col min="4" max="4" width="15.8515625" style="2" customWidth="1"/>
    <col min="5" max="5" width="19.28125" style="2" customWidth="1"/>
    <col min="6" max="6" width="14.28125" style="2" customWidth="1"/>
    <col min="7" max="8" width="8.28125" style="7" customWidth="1"/>
    <col min="9" max="9" width="9.2812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1</v>
      </c>
      <c r="C1" s="35" t="s">
        <v>203</v>
      </c>
      <c r="E1" s="2" t="s">
        <v>41</v>
      </c>
      <c r="F1" s="29">
        <v>20</v>
      </c>
      <c r="G1" s="3" t="s">
        <v>37</v>
      </c>
      <c r="H1" s="2"/>
      <c r="I1" s="2"/>
      <c r="J1" s="2"/>
    </row>
    <row r="2" spans="1:10" ht="12.75">
      <c r="A2" s="3" t="s">
        <v>34</v>
      </c>
      <c r="B2" s="5"/>
      <c r="C2" s="78" t="s">
        <v>139</v>
      </c>
      <c r="E2" s="6" t="s">
        <v>36</v>
      </c>
      <c r="G2" s="38" t="s">
        <v>40</v>
      </c>
      <c r="H2" s="2"/>
      <c r="I2" s="2"/>
      <c r="J2" s="2"/>
    </row>
    <row r="3" spans="1:10" ht="12.75">
      <c r="A3" s="3"/>
      <c r="B3" s="5"/>
      <c r="C3" s="81"/>
      <c r="E3" s="6"/>
      <c r="G3" s="38"/>
      <c r="H3" s="2"/>
      <c r="I3" s="2"/>
      <c r="J3" s="2"/>
    </row>
    <row r="4" spans="1:10" ht="12.75">
      <c r="A4" s="3"/>
      <c r="B4" s="5"/>
      <c r="C4" s="81"/>
      <c r="E4" s="6"/>
      <c r="F4" s="82"/>
      <c r="G4" s="51" t="s">
        <v>176</v>
      </c>
      <c r="H4" s="83">
        <v>9</v>
      </c>
      <c r="I4" s="84" t="s">
        <v>177</v>
      </c>
      <c r="J4" s="82"/>
    </row>
    <row r="5" spans="6:10" ht="12.75">
      <c r="F5" s="5"/>
      <c r="G5" s="16"/>
      <c r="H5" s="16"/>
      <c r="I5" s="15"/>
      <c r="J5" s="16"/>
    </row>
    <row r="6" spans="1:10" ht="12.75">
      <c r="A6" s="3" t="s">
        <v>204</v>
      </c>
      <c r="D6" s="6"/>
      <c r="F6" s="85" t="s">
        <v>179</v>
      </c>
      <c r="G6" s="86" t="s">
        <v>180</v>
      </c>
      <c r="H6" s="87"/>
      <c r="I6" s="87" t="s">
        <v>20</v>
      </c>
      <c r="J6" s="88" t="s">
        <v>181</v>
      </c>
    </row>
    <row r="7" spans="2:10" s="3" customFormat="1" ht="12.75">
      <c r="B7" s="2" t="s">
        <v>182</v>
      </c>
      <c r="E7" s="6" t="s">
        <v>205</v>
      </c>
      <c r="F7" s="89" t="s">
        <v>15</v>
      </c>
      <c r="G7" s="16" t="s">
        <v>183</v>
      </c>
      <c r="H7" s="16" t="s">
        <v>184</v>
      </c>
      <c r="I7" s="16"/>
      <c r="J7" s="90"/>
    </row>
    <row r="8" spans="1:10" ht="12.75">
      <c r="A8" s="2">
        <v>0.05</v>
      </c>
      <c r="B8" s="91">
        <v>1</v>
      </c>
      <c r="C8" s="4">
        <f>(A8+(B24/1000))*B11</f>
        <v>0.135</v>
      </c>
      <c r="D8" s="29">
        <v>12</v>
      </c>
      <c r="E8" s="4">
        <f>(C8+C14)*D8+C27</f>
        <v>2.328</v>
      </c>
      <c r="F8" s="29">
        <v>10.5</v>
      </c>
      <c r="G8" s="92">
        <f>((F1+20)/40)*F8*150/E8</f>
        <v>676.5463917525774</v>
      </c>
      <c r="H8" s="93">
        <f>G8/30</f>
        <v>22.55154639175258</v>
      </c>
      <c r="I8" s="92">
        <f>G8*D8*24</f>
        <v>194845.3608247423</v>
      </c>
      <c r="J8" s="94">
        <f>D8*H4*24*30/I8</f>
        <v>0.3990857142857142</v>
      </c>
    </row>
    <row r="9" spans="1:10" ht="12.75">
      <c r="A9" s="2" t="s">
        <v>2</v>
      </c>
      <c r="B9" s="2" t="s">
        <v>185</v>
      </c>
      <c r="C9" s="5" t="s">
        <v>4</v>
      </c>
      <c r="D9" s="2" t="s">
        <v>6</v>
      </c>
      <c r="E9" s="5" t="s">
        <v>7</v>
      </c>
      <c r="F9" s="95" t="s">
        <v>186</v>
      </c>
      <c r="G9" s="96"/>
      <c r="H9" s="16"/>
      <c r="I9" s="15"/>
      <c r="J9" s="97"/>
    </row>
    <row r="10" spans="1:10" ht="12.75">
      <c r="A10" s="2" t="s">
        <v>206</v>
      </c>
      <c r="B10" s="114">
        <f>2.2+(0.25*(B8-1))</f>
        <v>2.2</v>
      </c>
      <c r="C10" s="4"/>
      <c r="D10" s="2">
        <f>60/D8</f>
        <v>5</v>
      </c>
      <c r="E10" s="3" t="s">
        <v>190</v>
      </c>
      <c r="F10" s="99" t="s">
        <v>188</v>
      </c>
      <c r="G10" s="100"/>
      <c r="H10" s="13"/>
      <c r="I10" s="14"/>
      <c r="J10" s="101"/>
    </row>
    <row r="11" spans="1:10" ht="12.75">
      <c r="A11" s="2" t="s">
        <v>189</v>
      </c>
      <c r="B11" s="103">
        <f>IF(C17&lt;1,B10+C17,C17)</f>
        <v>2.7</v>
      </c>
      <c r="C11" s="62" t="s">
        <v>207</v>
      </c>
      <c r="D11" s="103">
        <f>3600/D8</f>
        <v>300</v>
      </c>
      <c r="E11" s="3" t="s">
        <v>191</v>
      </c>
      <c r="F11" s="3"/>
      <c r="G11" s="17"/>
      <c r="J11" s="102"/>
    </row>
    <row r="12" spans="4:10" ht="12.75">
      <c r="D12" s="115" t="s">
        <v>192</v>
      </c>
      <c r="E12" s="3"/>
      <c r="J12" s="8"/>
    </row>
    <row r="13" spans="1:10" s="3" customFormat="1" ht="12.75">
      <c r="A13" s="6" t="s">
        <v>208</v>
      </c>
      <c r="B13" s="6" t="s">
        <v>209</v>
      </c>
      <c r="C13" s="4"/>
      <c r="F13" s="47"/>
      <c r="G13" s="105"/>
      <c r="H13" s="105"/>
      <c r="I13" s="106"/>
      <c r="J13" s="59"/>
    </row>
    <row r="14" spans="1:13" ht="12.75">
      <c r="A14" s="29">
        <v>0.1</v>
      </c>
      <c r="B14" s="29" t="s">
        <v>210</v>
      </c>
      <c r="C14" s="4">
        <f>A14*C17</f>
        <v>0.05</v>
      </c>
      <c r="D14" s="6"/>
      <c r="E14" s="3"/>
      <c r="F14" s="85" t="s">
        <v>193</v>
      </c>
      <c r="G14" s="18"/>
      <c r="H14" s="18" t="s">
        <v>33</v>
      </c>
      <c r="I14" s="130" t="s">
        <v>29</v>
      </c>
      <c r="J14" s="108"/>
      <c r="M14" s="2">
        <v>0.1</v>
      </c>
    </row>
    <row r="15" spans="1:13" ht="12.75">
      <c r="A15" s="2" t="s">
        <v>211</v>
      </c>
      <c r="B15" s="2" t="s">
        <v>270</v>
      </c>
      <c r="C15" s="5" t="s">
        <v>4</v>
      </c>
      <c r="D15" s="6"/>
      <c r="E15" s="3"/>
      <c r="F15" s="20" t="s">
        <v>22</v>
      </c>
      <c r="G15" s="16">
        <v>6</v>
      </c>
      <c r="H15" s="135">
        <v>6</v>
      </c>
      <c r="I15" s="125" t="s">
        <v>30</v>
      </c>
      <c r="J15" s="90"/>
      <c r="M15" s="2">
        <v>0.15</v>
      </c>
    </row>
    <row r="16" spans="5:10" ht="12.75">
      <c r="E16" s="3"/>
      <c r="F16" s="20" t="s">
        <v>14</v>
      </c>
      <c r="G16" s="16">
        <v>2</v>
      </c>
      <c r="H16" s="135">
        <v>0</v>
      </c>
      <c r="I16" s="131">
        <f>8000000/H25</f>
        <v>800000</v>
      </c>
      <c r="J16" s="90"/>
    </row>
    <row r="17" spans="1:10" ht="12.75">
      <c r="A17" s="2" t="s">
        <v>212</v>
      </c>
      <c r="B17" s="29">
        <v>0</v>
      </c>
      <c r="C17" s="2">
        <f>VLOOKUP(B14,L19:M20,2,FALSE)</f>
        <v>0.5</v>
      </c>
      <c r="D17" s="3" t="s">
        <v>213</v>
      </c>
      <c r="E17" s="3"/>
      <c r="F17" s="20" t="s">
        <v>10</v>
      </c>
      <c r="G17" s="16">
        <v>2</v>
      </c>
      <c r="H17" s="135">
        <v>0</v>
      </c>
      <c r="I17" s="125"/>
      <c r="J17" s="90"/>
    </row>
    <row r="18" spans="2:10" ht="12.75">
      <c r="B18" s="116" t="s">
        <v>214</v>
      </c>
      <c r="E18" s="3"/>
      <c r="F18" s="20" t="s">
        <v>11</v>
      </c>
      <c r="G18" s="16">
        <v>2</v>
      </c>
      <c r="H18" s="135">
        <v>0</v>
      </c>
      <c r="I18" s="125"/>
      <c r="J18" s="90"/>
    </row>
    <row r="19" spans="1:15" ht="12.75">
      <c r="A19" s="2" t="s">
        <v>9</v>
      </c>
      <c r="E19" s="4"/>
      <c r="F19" s="20" t="s">
        <v>12</v>
      </c>
      <c r="G19" s="16">
        <v>2</v>
      </c>
      <c r="H19" s="135">
        <v>0</v>
      </c>
      <c r="I19" s="125"/>
      <c r="J19" s="90"/>
      <c r="L19" s="2" t="s">
        <v>210</v>
      </c>
      <c r="M19" s="2">
        <f>0.5</f>
        <v>0.5</v>
      </c>
      <c r="N19" s="2" t="s">
        <v>210</v>
      </c>
      <c r="O19" s="2">
        <f>VLOOKUP(N19,L19:M20,2,FALSE)</f>
        <v>0.5</v>
      </c>
    </row>
    <row r="20" spans="1:13" ht="12.75">
      <c r="A20" s="2" t="s">
        <v>14</v>
      </c>
      <c r="B20" s="29">
        <v>0</v>
      </c>
      <c r="C20" s="3" t="s">
        <v>194</v>
      </c>
      <c r="E20" s="5"/>
      <c r="F20" s="20" t="s">
        <v>24</v>
      </c>
      <c r="G20" s="16">
        <v>3</v>
      </c>
      <c r="H20" s="135">
        <v>0</v>
      </c>
      <c r="I20" s="125"/>
      <c r="J20" s="90"/>
      <c r="L20" s="2" t="s">
        <v>215</v>
      </c>
      <c r="M20" s="2">
        <f>B17+B10</f>
        <v>2.2</v>
      </c>
    </row>
    <row r="21" spans="1:10" ht="12.75">
      <c r="A21" s="2" t="s">
        <v>10</v>
      </c>
      <c r="B21" s="29">
        <v>0</v>
      </c>
      <c r="C21" s="3" t="s">
        <v>195</v>
      </c>
      <c r="F21" s="20" t="s">
        <v>25</v>
      </c>
      <c r="G21" s="22">
        <v>4</v>
      </c>
      <c r="H21" s="136">
        <v>4</v>
      </c>
      <c r="I21" s="125"/>
      <c r="J21" s="90"/>
    </row>
    <row r="22" spans="1:10" ht="12.75">
      <c r="A22" s="2" t="s">
        <v>11</v>
      </c>
      <c r="B22" s="29">
        <v>0</v>
      </c>
      <c r="F22" s="20" t="s">
        <v>26</v>
      </c>
      <c r="G22" s="16">
        <v>7</v>
      </c>
      <c r="H22" s="135">
        <v>0</v>
      </c>
      <c r="I22" s="125"/>
      <c r="J22" s="90"/>
    </row>
    <row r="23" spans="1:10" ht="12.75">
      <c r="A23" s="2" t="s">
        <v>12</v>
      </c>
      <c r="B23" s="29">
        <v>0</v>
      </c>
      <c r="F23" s="20" t="s">
        <v>27</v>
      </c>
      <c r="G23" s="16">
        <v>7</v>
      </c>
      <c r="H23" s="135">
        <v>0</v>
      </c>
      <c r="I23" s="125"/>
      <c r="J23" s="90"/>
    </row>
    <row r="24" spans="1:10" s="1" customFormat="1" ht="12.75">
      <c r="A24" s="2" t="s">
        <v>13</v>
      </c>
      <c r="B24" s="98">
        <f>SUM(B20:B23)</f>
        <v>0</v>
      </c>
      <c r="C24" s="3" t="s">
        <v>31</v>
      </c>
      <c r="D24" s="2"/>
      <c r="E24" s="2"/>
      <c r="F24" s="23" t="s">
        <v>27</v>
      </c>
      <c r="G24" s="13">
        <v>7</v>
      </c>
      <c r="H24" s="135">
        <v>0</v>
      </c>
      <c r="I24" s="132"/>
      <c r="J24" s="109" t="s">
        <v>181</v>
      </c>
    </row>
    <row r="25" spans="4:10" ht="12.75">
      <c r="D25" s="1"/>
      <c r="F25" s="24" t="s">
        <v>28</v>
      </c>
      <c r="G25" s="13"/>
      <c r="H25" s="137">
        <f>SUM(H15:H24)</f>
        <v>10</v>
      </c>
      <c r="I25" s="133"/>
      <c r="J25" s="111">
        <f>D8*H4*24*30/I16</f>
        <v>0.0972</v>
      </c>
    </row>
    <row r="26" spans="1:10" ht="12.75">
      <c r="A26" s="1" t="s">
        <v>0</v>
      </c>
      <c r="B26" s="1"/>
      <c r="C26" s="1"/>
      <c r="F26" s="5"/>
      <c r="G26" s="16"/>
      <c r="H26" s="16"/>
      <c r="I26" s="15"/>
      <c r="J26" s="16"/>
    </row>
    <row r="27" spans="1:8" ht="12.75">
      <c r="A27" s="2">
        <v>3E-05</v>
      </c>
      <c r="B27" s="2">
        <v>3600</v>
      </c>
      <c r="C27" s="2">
        <f>A27*B27</f>
        <v>0.108</v>
      </c>
      <c r="F27" s="25"/>
      <c r="G27" s="27"/>
      <c r="H27" s="27"/>
    </row>
    <row r="28" spans="1:3" ht="12.75">
      <c r="A28" s="5" t="s">
        <v>2</v>
      </c>
      <c r="B28" s="5" t="s">
        <v>5</v>
      </c>
      <c r="C28" s="5" t="s">
        <v>4</v>
      </c>
    </row>
    <row r="29" ht="12.75">
      <c r="E29" s="1"/>
    </row>
    <row r="30" spans="1:10" s="25" customFormat="1" ht="12.75">
      <c r="A30" s="1" t="s">
        <v>196</v>
      </c>
      <c r="B30" s="2"/>
      <c r="C30" s="2"/>
      <c r="D30" s="2"/>
      <c r="E30" s="2"/>
      <c r="F30" s="2"/>
      <c r="G30" s="7"/>
      <c r="H30" s="7"/>
      <c r="I30" s="28"/>
      <c r="J30" s="27"/>
    </row>
    <row r="31" spans="1:3" ht="12.75">
      <c r="A31" s="26" t="s">
        <v>38</v>
      </c>
      <c r="B31" s="25"/>
      <c r="C31" s="25"/>
    </row>
    <row r="32" spans="1:2" ht="12.75">
      <c r="A32" s="37" t="s">
        <v>43</v>
      </c>
      <c r="B32" s="3"/>
    </row>
    <row r="33" ht="12.75">
      <c r="A33" s="26" t="s">
        <v>39</v>
      </c>
    </row>
    <row r="34" ht="12.75">
      <c r="A34" s="26" t="s">
        <v>197</v>
      </c>
    </row>
    <row r="35" spans="1:5" ht="12.75">
      <c r="A35" s="26" t="s">
        <v>271</v>
      </c>
      <c r="E35" s="25"/>
    </row>
  </sheetData>
  <sheetProtection sheet="1" objects="1" scenarios="1" selectLockedCells="1"/>
  <dataValidations count="2">
    <dataValidation type="list" allowBlank="1" showInputMessage="1" showErrorMessage="1" sqref="A14">
      <formula1>$M$14:$M$15</formula1>
    </dataValidation>
    <dataValidation type="list" allowBlank="1" showInputMessage="1" showErrorMessage="1" sqref="N19:N20 B14">
      <formula1>$L$19:$L$20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O37"/>
  <sheetViews>
    <sheetView workbookViewId="0" topLeftCell="A1">
      <selection activeCell="C2" sqref="C2"/>
    </sheetView>
  </sheetViews>
  <sheetFormatPr defaultColWidth="9.140625" defaultRowHeight="12.75"/>
  <cols>
    <col min="1" max="1" width="17.00390625" style="2" customWidth="1"/>
    <col min="2" max="2" width="20.140625" style="2" customWidth="1"/>
    <col min="3" max="3" width="16.8515625" style="2" customWidth="1"/>
    <col min="4" max="4" width="15.8515625" style="2" customWidth="1"/>
    <col min="5" max="5" width="20.00390625" style="2" customWidth="1"/>
    <col min="6" max="6" width="14.28125" style="2" customWidth="1"/>
    <col min="7" max="8" width="8.28125" style="7" customWidth="1"/>
    <col min="9" max="9" width="9.2812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272</v>
      </c>
      <c r="C1" s="35" t="s">
        <v>216</v>
      </c>
      <c r="E1" s="2" t="s">
        <v>41</v>
      </c>
      <c r="F1" s="29">
        <v>20</v>
      </c>
      <c r="G1" s="3" t="s">
        <v>37</v>
      </c>
      <c r="H1" s="2"/>
      <c r="I1" s="2"/>
      <c r="J1" s="2"/>
    </row>
    <row r="2" spans="1:10" ht="12.75">
      <c r="A2" s="3" t="s">
        <v>34</v>
      </c>
      <c r="B2" s="5"/>
      <c r="C2" s="78" t="s">
        <v>139</v>
      </c>
      <c r="E2" s="6" t="s">
        <v>36</v>
      </c>
      <c r="G2" s="38" t="s">
        <v>40</v>
      </c>
      <c r="H2" s="2"/>
      <c r="I2" s="2"/>
      <c r="J2" s="2"/>
    </row>
    <row r="3" spans="1:10" ht="12.75">
      <c r="A3" s="3"/>
      <c r="B3" s="5"/>
      <c r="C3" s="81"/>
      <c r="E3" s="6"/>
      <c r="G3" s="38"/>
      <c r="H3" s="2"/>
      <c r="I3" s="2"/>
      <c r="J3" s="2"/>
    </row>
    <row r="4" spans="1:13" ht="12.75">
      <c r="A4" s="26" t="s">
        <v>223</v>
      </c>
      <c r="B4" s="5"/>
      <c r="C4" s="81"/>
      <c r="E4" s="6"/>
      <c r="F4" s="82"/>
      <c r="G4" s="51" t="s">
        <v>176</v>
      </c>
      <c r="H4" s="83">
        <v>6</v>
      </c>
      <c r="I4" s="84" t="s">
        <v>177</v>
      </c>
      <c r="J4" s="82"/>
      <c r="M4" s="2">
        <f>IF(B10&lt;1,0.3,B10)</f>
        <v>0.3</v>
      </c>
    </row>
    <row r="5" spans="6:10" ht="12.75">
      <c r="F5" s="5"/>
      <c r="G5" s="16"/>
      <c r="H5" s="16"/>
      <c r="I5" s="15"/>
      <c r="J5" s="16"/>
    </row>
    <row r="6" spans="1:10" ht="12.75">
      <c r="A6" s="3" t="s">
        <v>204</v>
      </c>
      <c r="D6" s="6"/>
      <c r="F6" s="85" t="s">
        <v>179</v>
      </c>
      <c r="G6" s="86" t="s">
        <v>180</v>
      </c>
      <c r="H6" s="87"/>
      <c r="I6" s="87" t="s">
        <v>20</v>
      </c>
      <c r="J6" s="88" t="s">
        <v>181</v>
      </c>
    </row>
    <row r="7" spans="2:10" s="3" customFormat="1" ht="12.75">
      <c r="B7" s="2" t="s">
        <v>182</v>
      </c>
      <c r="E7" s="6" t="s">
        <v>205</v>
      </c>
      <c r="F7" s="89" t="s">
        <v>15</v>
      </c>
      <c r="G7" s="16" t="s">
        <v>183</v>
      </c>
      <c r="H7" s="16" t="s">
        <v>184</v>
      </c>
      <c r="I7" s="16"/>
      <c r="J7" s="90"/>
    </row>
    <row r="8" spans="1:10" ht="12.75">
      <c r="A8" s="2">
        <v>0.065</v>
      </c>
      <c r="B8" s="91">
        <v>1</v>
      </c>
      <c r="C8" s="4">
        <f>(A8+(B26/1000))*B13</f>
        <v>0.195</v>
      </c>
      <c r="D8" s="29">
        <v>20</v>
      </c>
      <c r="E8" s="4">
        <f>(C8+C16)*D8+C29</f>
        <v>5.508</v>
      </c>
      <c r="F8" s="29">
        <v>10.5</v>
      </c>
      <c r="G8" s="92">
        <f>((F1+20)/40)*F8*150/E8</f>
        <v>285.9477124183006</v>
      </c>
      <c r="H8" s="93">
        <f>G8/30</f>
        <v>9.531590413943354</v>
      </c>
      <c r="I8" s="92">
        <f>G8*D8*24</f>
        <v>137254.9019607843</v>
      </c>
      <c r="J8" s="94">
        <f>D8*H4*24*30/I8</f>
        <v>0.6294857142857143</v>
      </c>
    </row>
    <row r="9" spans="1:10" ht="12.75">
      <c r="A9" s="2" t="s">
        <v>2</v>
      </c>
      <c r="B9" s="2" t="s">
        <v>185</v>
      </c>
      <c r="C9" s="5" t="s">
        <v>4</v>
      </c>
      <c r="D9" s="2" t="s">
        <v>6</v>
      </c>
      <c r="E9" s="5" t="s">
        <v>7</v>
      </c>
      <c r="F9" s="95" t="s">
        <v>186</v>
      </c>
      <c r="G9" s="96"/>
      <c r="H9" s="16"/>
      <c r="I9" s="15"/>
      <c r="J9" s="97"/>
    </row>
    <row r="10" spans="1:10" ht="12.75">
      <c r="A10" s="2" t="s">
        <v>199</v>
      </c>
      <c r="B10" s="29">
        <v>0</v>
      </c>
      <c r="C10" s="62" t="s">
        <v>200</v>
      </c>
      <c r="F10" s="99" t="s">
        <v>188</v>
      </c>
      <c r="G10" s="100"/>
      <c r="H10" s="13"/>
      <c r="I10" s="14"/>
      <c r="J10" s="101"/>
    </row>
    <row r="11" spans="2:10" ht="12.75">
      <c r="B11" s="2" t="s">
        <v>201</v>
      </c>
      <c r="C11" s="4"/>
      <c r="D11" s="10">
        <f>60/D8</f>
        <v>3</v>
      </c>
      <c r="E11" s="3" t="s">
        <v>190</v>
      </c>
      <c r="F11" s="3"/>
      <c r="G11" s="17"/>
      <c r="J11" s="102"/>
    </row>
    <row r="12" spans="1:10" ht="12.75">
      <c r="A12" s="2" t="s">
        <v>206</v>
      </c>
      <c r="B12" s="117">
        <f>2.2+(0.25*(B8-1))+M4</f>
        <v>2.5</v>
      </c>
      <c r="D12" s="33">
        <f>3600/D8</f>
        <v>180</v>
      </c>
      <c r="E12" s="3" t="s">
        <v>191</v>
      </c>
      <c r="J12" s="8"/>
    </row>
    <row r="13" spans="1:10" s="3" customFormat="1" ht="12.75">
      <c r="A13" s="2" t="s">
        <v>189</v>
      </c>
      <c r="B13" s="98">
        <f>IF(C19&lt;1,B10+B12+C19,C19)</f>
        <v>3</v>
      </c>
      <c r="C13" s="62" t="s">
        <v>207</v>
      </c>
      <c r="D13" s="115" t="s">
        <v>192</v>
      </c>
      <c r="F13" s="47"/>
      <c r="G13" s="105"/>
      <c r="H13" s="105"/>
      <c r="I13" s="106"/>
      <c r="J13" s="59"/>
    </row>
    <row r="14" spans="4:13" ht="12.75">
      <c r="D14"/>
      <c r="E14" s="3"/>
      <c r="F14" s="85" t="s">
        <v>193</v>
      </c>
      <c r="G14" s="18"/>
      <c r="H14" s="18" t="s">
        <v>33</v>
      </c>
      <c r="I14" s="130" t="s">
        <v>29</v>
      </c>
      <c r="J14" s="108"/>
      <c r="M14" s="2">
        <v>0.1</v>
      </c>
    </row>
    <row r="15" spans="1:13" ht="12.75">
      <c r="A15" s="6" t="s">
        <v>208</v>
      </c>
      <c r="B15" s="6" t="s">
        <v>209</v>
      </c>
      <c r="C15" s="4"/>
      <c r="E15" s="3"/>
      <c r="F15" s="20" t="s">
        <v>22</v>
      </c>
      <c r="G15" s="16">
        <v>6</v>
      </c>
      <c r="H15" s="135">
        <v>6</v>
      </c>
      <c r="I15" s="125" t="s">
        <v>30</v>
      </c>
      <c r="J15" s="90"/>
      <c r="M15" s="2">
        <v>0.15</v>
      </c>
    </row>
    <row r="16" spans="1:10" ht="12.75">
      <c r="A16" s="29">
        <v>0.15</v>
      </c>
      <c r="B16" s="29" t="s">
        <v>210</v>
      </c>
      <c r="C16" s="4">
        <f>A16*C19</f>
        <v>0.075</v>
      </c>
      <c r="D16" s="6"/>
      <c r="E16" s="3"/>
      <c r="F16" s="20" t="s">
        <v>23</v>
      </c>
      <c r="G16" s="16">
        <v>5</v>
      </c>
      <c r="H16" s="135">
        <v>5</v>
      </c>
      <c r="I16" s="131">
        <f>8000000/H27</f>
        <v>533333.3333333334</v>
      </c>
      <c r="J16" s="90"/>
    </row>
    <row r="17" spans="1:10" ht="12.75">
      <c r="A17" s="2" t="s">
        <v>211</v>
      </c>
      <c r="B17" s="2" t="s">
        <v>270</v>
      </c>
      <c r="C17" s="5" t="s">
        <v>4</v>
      </c>
      <c r="D17" s="6"/>
      <c r="E17" s="3"/>
      <c r="F17" s="20" t="s">
        <v>269</v>
      </c>
      <c r="G17" s="16">
        <v>6</v>
      </c>
      <c r="H17" s="135">
        <v>0</v>
      </c>
      <c r="I17" s="125"/>
      <c r="J17" s="90"/>
    </row>
    <row r="18" spans="5:10" ht="12.75">
      <c r="E18" s="3"/>
      <c r="F18" s="20" t="s">
        <v>14</v>
      </c>
      <c r="G18" s="16">
        <v>2</v>
      </c>
      <c r="H18" s="135">
        <v>0</v>
      </c>
      <c r="I18" s="125"/>
      <c r="J18" s="90"/>
    </row>
    <row r="19" spans="1:15" ht="12.75">
      <c r="A19" s="2" t="s">
        <v>212</v>
      </c>
      <c r="B19" s="29">
        <v>20</v>
      </c>
      <c r="C19" s="2">
        <f>VLOOKUP(B16,L19:M20,2,FALSE)</f>
        <v>0.5</v>
      </c>
      <c r="D19" s="3" t="s">
        <v>213</v>
      </c>
      <c r="E19" s="4"/>
      <c r="F19" s="20" t="s">
        <v>10</v>
      </c>
      <c r="G19" s="16">
        <v>2</v>
      </c>
      <c r="H19" s="135">
        <v>0</v>
      </c>
      <c r="I19" s="125"/>
      <c r="J19" s="90"/>
      <c r="L19" s="2" t="s">
        <v>210</v>
      </c>
      <c r="M19" s="2">
        <f>0.5</f>
        <v>0.5</v>
      </c>
      <c r="N19" s="2" t="s">
        <v>210</v>
      </c>
      <c r="O19" s="2">
        <f>VLOOKUP(N19,L19:M20,2,FALSE)</f>
        <v>0.5</v>
      </c>
    </row>
    <row r="20" spans="2:13" ht="12.75">
      <c r="B20" s="116" t="s">
        <v>214</v>
      </c>
      <c r="E20" s="5"/>
      <c r="F20" s="20" t="s">
        <v>11</v>
      </c>
      <c r="G20" s="16">
        <v>2</v>
      </c>
      <c r="H20" s="135">
        <v>0</v>
      </c>
      <c r="I20" s="125"/>
      <c r="J20" s="90"/>
      <c r="L20" s="2" t="s">
        <v>215</v>
      </c>
      <c r="M20" s="2">
        <f>B19+B12</f>
        <v>22.5</v>
      </c>
    </row>
    <row r="21" spans="1:10" ht="12.75">
      <c r="A21" s="2" t="s">
        <v>9</v>
      </c>
      <c r="F21" s="20" t="s">
        <v>12</v>
      </c>
      <c r="G21" s="16">
        <v>2</v>
      </c>
      <c r="H21" s="135">
        <v>0</v>
      </c>
      <c r="I21" s="125"/>
      <c r="J21" s="90"/>
    </row>
    <row r="22" spans="1:10" ht="12.75">
      <c r="A22" s="2" t="s">
        <v>14</v>
      </c>
      <c r="B22" s="29">
        <v>0</v>
      </c>
      <c r="C22" s="3" t="s">
        <v>194</v>
      </c>
      <c r="F22" s="20" t="s">
        <v>24</v>
      </c>
      <c r="G22" s="16">
        <v>3</v>
      </c>
      <c r="H22" s="135">
        <v>0</v>
      </c>
      <c r="I22" s="125"/>
      <c r="J22" s="90"/>
    </row>
    <row r="23" spans="1:10" ht="12.75">
      <c r="A23" s="2" t="s">
        <v>10</v>
      </c>
      <c r="B23" s="29">
        <v>0</v>
      </c>
      <c r="C23" s="3" t="s">
        <v>195</v>
      </c>
      <c r="F23" s="20" t="s">
        <v>25</v>
      </c>
      <c r="G23" s="22">
        <v>4</v>
      </c>
      <c r="H23" s="136">
        <v>4</v>
      </c>
      <c r="I23" s="20"/>
      <c r="J23" s="138"/>
    </row>
    <row r="24" spans="1:10" s="1" customFormat="1" ht="12.75">
      <c r="A24" s="2" t="s">
        <v>11</v>
      </c>
      <c r="B24" s="29">
        <v>0</v>
      </c>
      <c r="C24" s="2"/>
      <c r="D24" s="2"/>
      <c r="E24" s="2"/>
      <c r="F24" s="20" t="s">
        <v>26</v>
      </c>
      <c r="G24" s="16">
        <v>7</v>
      </c>
      <c r="H24" s="135">
        <v>0</v>
      </c>
      <c r="I24" s="139"/>
      <c r="J24" s="21"/>
    </row>
    <row r="25" spans="1:10" ht="12.75">
      <c r="A25" s="2" t="s">
        <v>12</v>
      </c>
      <c r="B25" s="29">
        <v>0</v>
      </c>
      <c r="F25" s="20" t="s">
        <v>27</v>
      </c>
      <c r="G25" s="16">
        <v>7</v>
      </c>
      <c r="H25" s="135">
        <v>0</v>
      </c>
      <c r="I25" s="139"/>
      <c r="J25" s="21"/>
    </row>
    <row r="26" spans="1:10" ht="12.75">
      <c r="A26" s="2" t="s">
        <v>13</v>
      </c>
      <c r="B26" s="98">
        <f>SUM(B22:B25)</f>
        <v>0</v>
      </c>
      <c r="C26" s="3" t="s">
        <v>31</v>
      </c>
      <c r="F26" s="23" t="s">
        <v>27</v>
      </c>
      <c r="G26" s="13">
        <v>7</v>
      </c>
      <c r="H26" s="135">
        <v>0</v>
      </c>
      <c r="I26" s="132"/>
      <c r="J26" s="109" t="s">
        <v>181</v>
      </c>
    </row>
    <row r="27" spans="4:10" ht="12.75">
      <c r="D27" s="1"/>
      <c r="F27" s="24" t="s">
        <v>28</v>
      </c>
      <c r="G27" s="13"/>
      <c r="H27" s="137">
        <f>SUM(H15:H26)</f>
        <v>15</v>
      </c>
      <c r="I27" s="133"/>
      <c r="J27" s="111">
        <f>D8*H4*24*30/I16</f>
        <v>0.16199999999999998</v>
      </c>
    </row>
    <row r="28" spans="1:8" ht="12.75">
      <c r="A28" s="1" t="s">
        <v>0</v>
      </c>
      <c r="B28" s="1"/>
      <c r="C28" s="1"/>
      <c r="F28" s="5"/>
      <c r="G28" s="16"/>
      <c r="H28" s="16"/>
    </row>
    <row r="29" spans="1:10" ht="12.75">
      <c r="A29" s="2">
        <v>3E-05</v>
      </c>
      <c r="B29" s="2">
        <v>3600</v>
      </c>
      <c r="C29" s="2">
        <f>A29*B29</f>
        <v>0.108</v>
      </c>
      <c r="E29" s="1"/>
      <c r="F29" s="25"/>
      <c r="G29" s="27"/>
      <c r="H29" s="27"/>
      <c r="I29" s="28"/>
      <c r="J29" s="27"/>
    </row>
    <row r="30" spans="1:10" s="25" customFormat="1" ht="12.75">
      <c r="A30" s="5" t="s">
        <v>2</v>
      </c>
      <c r="B30" s="5" t="s">
        <v>5</v>
      </c>
      <c r="C30" s="5" t="s">
        <v>4</v>
      </c>
      <c r="D30" s="2"/>
      <c r="E30" s="2"/>
      <c r="F30" s="2"/>
      <c r="G30" s="7"/>
      <c r="H30" s="7"/>
      <c r="I30" s="10"/>
      <c r="J30" s="7"/>
    </row>
    <row r="32" ht="12.75">
      <c r="A32" s="1" t="s">
        <v>196</v>
      </c>
    </row>
    <row r="33" spans="1:3" ht="12.75">
      <c r="A33" s="26" t="s">
        <v>38</v>
      </c>
      <c r="B33" s="25"/>
      <c r="C33" s="25"/>
    </row>
    <row r="34" spans="1:2" ht="12.75">
      <c r="A34" s="37" t="s">
        <v>43</v>
      </c>
      <c r="B34" s="3"/>
    </row>
    <row r="35" spans="1:5" ht="12.75">
      <c r="A35" s="26" t="s">
        <v>39</v>
      </c>
      <c r="E35" s="25"/>
    </row>
    <row r="36" ht="12.75">
      <c r="A36" s="26" t="s">
        <v>197</v>
      </c>
    </row>
    <row r="37" ht="12.75">
      <c r="A37" s="26" t="s">
        <v>271</v>
      </c>
    </row>
  </sheetData>
  <sheetProtection sheet="1" objects="1" scenarios="1" selectLockedCells="1"/>
  <dataValidations count="2">
    <dataValidation type="list" allowBlank="1" showInputMessage="1" showErrorMessage="1" sqref="A16">
      <formula1>$M$14:$M$15</formula1>
    </dataValidation>
    <dataValidation type="list" allowBlank="1" showInputMessage="1" showErrorMessage="1" sqref="N19:N20 B16">
      <formula1>$L$19:$L$20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J32"/>
  <sheetViews>
    <sheetView workbookViewId="0" topLeftCell="A1">
      <selection activeCell="F9" sqref="F9"/>
    </sheetView>
  </sheetViews>
  <sheetFormatPr defaultColWidth="9.140625" defaultRowHeight="12.75"/>
  <cols>
    <col min="1" max="1" width="15.57421875" style="2" customWidth="1"/>
    <col min="2" max="2" width="20.140625" style="2" customWidth="1"/>
    <col min="3" max="3" width="15.57421875" style="2" customWidth="1"/>
    <col min="4" max="4" width="15.8515625" style="2" customWidth="1"/>
    <col min="5" max="5" width="20.00390625" style="2" customWidth="1"/>
    <col min="6" max="6" width="14.28125" style="2" customWidth="1"/>
    <col min="7" max="8" width="8.28125" style="7" customWidth="1"/>
    <col min="9" max="9" width="9.2812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217</v>
      </c>
      <c r="C1" s="35" t="s">
        <v>35</v>
      </c>
      <c r="E1" s="2" t="s">
        <v>41</v>
      </c>
      <c r="F1" s="29">
        <v>20</v>
      </c>
      <c r="G1" s="3" t="s">
        <v>37</v>
      </c>
      <c r="H1" s="2"/>
      <c r="I1" s="2"/>
      <c r="J1" s="2"/>
    </row>
    <row r="2" spans="1:10" ht="12.75">
      <c r="A2" s="3" t="s">
        <v>34</v>
      </c>
      <c r="B2" s="5"/>
      <c r="C2" s="78" t="s">
        <v>139</v>
      </c>
      <c r="E2" s="6" t="s">
        <v>36</v>
      </c>
      <c r="G2" s="38" t="s">
        <v>40</v>
      </c>
      <c r="H2" s="2"/>
      <c r="I2" s="2"/>
      <c r="J2" s="2"/>
    </row>
    <row r="3" spans="1:10" ht="12.75">
      <c r="A3" s="3"/>
      <c r="B3" s="5"/>
      <c r="C3" s="81"/>
      <c r="E3" s="6"/>
      <c r="G3" s="38"/>
      <c r="H3" s="2"/>
      <c r="I3" s="2"/>
      <c r="J3" s="2"/>
    </row>
    <row r="4" spans="1:10" ht="12.75">
      <c r="A4" s="2" t="s">
        <v>44</v>
      </c>
      <c r="B4" s="29">
        <v>10</v>
      </c>
      <c r="C4" s="4">
        <f>0.005*0.5*B4</f>
        <v>0.025</v>
      </c>
      <c r="D4" s="29">
        <v>1</v>
      </c>
      <c r="E4" s="6"/>
      <c r="G4" s="38"/>
      <c r="H4" s="2"/>
      <c r="I4" s="2"/>
      <c r="J4" s="2"/>
    </row>
    <row r="5" spans="2:10" ht="12.75">
      <c r="B5" s="2" t="s">
        <v>45</v>
      </c>
      <c r="C5" s="5" t="s">
        <v>4</v>
      </c>
      <c r="D5" s="2" t="s">
        <v>218</v>
      </c>
      <c r="E5" s="6"/>
      <c r="F5" s="82"/>
      <c r="G5" s="51" t="s">
        <v>176</v>
      </c>
      <c r="H5" s="83">
        <v>9</v>
      </c>
      <c r="I5" s="84" t="s">
        <v>177</v>
      </c>
      <c r="J5" s="82"/>
    </row>
    <row r="6" spans="6:10" ht="12.75">
      <c r="F6" s="5"/>
      <c r="G6" s="16"/>
      <c r="H6" s="16"/>
      <c r="I6" s="15"/>
      <c r="J6" s="16"/>
    </row>
    <row r="7" spans="1:10" ht="12.75">
      <c r="A7" s="3" t="s">
        <v>178</v>
      </c>
      <c r="D7" s="6"/>
      <c r="F7" s="85" t="s">
        <v>179</v>
      </c>
      <c r="G7" s="86" t="s">
        <v>180</v>
      </c>
      <c r="H7" s="87"/>
      <c r="I7" s="87" t="s">
        <v>20</v>
      </c>
      <c r="J7" s="88" t="s">
        <v>181</v>
      </c>
    </row>
    <row r="8" spans="2:10" s="3" customFormat="1" ht="12.75">
      <c r="B8" s="2" t="s">
        <v>182</v>
      </c>
      <c r="F8" s="89" t="s">
        <v>15</v>
      </c>
      <c r="G8" s="16" t="s">
        <v>183</v>
      </c>
      <c r="H8" s="16" t="s">
        <v>184</v>
      </c>
      <c r="I8" s="16"/>
      <c r="J8" s="90"/>
    </row>
    <row r="9" spans="1:10" ht="12.75">
      <c r="A9" s="2">
        <v>0.05</v>
      </c>
      <c r="B9" s="91">
        <v>1</v>
      </c>
      <c r="C9" s="4">
        <f>(A9+(B20/1000))*B11</f>
        <v>0.11000000000000001</v>
      </c>
      <c r="D9" s="29">
        <v>10</v>
      </c>
      <c r="E9" s="4">
        <f>C9*D9+C23+(C4*D4)</f>
        <v>1.611</v>
      </c>
      <c r="F9" s="29">
        <v>12.2</v>
      </c>
      <c r="G9" s="92">
        <f>((F1+20)/40)*F9*150/E9</f>
        <v>1135.9404096834264</v>
      </c>
      <c r="H9" s="93">
        <f>G9/30</f>
        <v>37.86468032278088</v>
      </c>
      <c r="I9" s="92">
        <f>G9*D9*24</f>
        <v>272625.69832402235</v>
      </c>
      <c r="J9" s="94">
        <f>D9*H5*24*30/I9</f>
        <v>0.23768852459016393</v>
      </c>
    </row>
    <row r="10" spans="1:10" ht="12.75">
      <c r="A10" s="2" t="s">
        <v>2</v>
      </c>
      <c r="B10" s="2" t="s">
        <v>185</v>
      </c>
      <c r="C10" s="5" t="s">
        <v>4</v>
      </c>
      <c r="D10" s="2" t="s">
        <v>6</v>
      </c>
      <c r="E10" s="5" t="s">
        <v>7</v>
      </c>
      <c r="F10" s="95" t="s">
        <v>186</v>
      </c>
      <c r="G10" s="96"/>
      <c r="H10" s="16"/>
      <c r="I10" s="15"/>
      <c r="J10" s="97"/>
    </row>
    <row r="11" spans="2:10" ht="12.75">
      <c r="B11" s="98">
        <f>2.2+(0.25*(B9-1))</f>
        <v>2.2</v>
      </c>
      <c r="C11" s="4"/>
      <c r="E11" s="2" t="s">
        <v>187</v>
      </c>
      <c r="F11" s="99" t="s">
        <v>188</v>
      </c>
      <c r="G11" s="100"/>
      <c r="H11" s="13"/>
      <c r="I11" s="14"/>
      <c r="J11" s="101"/>
    </row>
    <row r="12" spans="2:10" ht="12.75">
      <c r="B12" s="2" t="s">
        <v>189</v>
      </c>
      <c r="C12" s="4"/>
      <c r="D12" s="2">
        <f>60/D9</f>
        <v>6</v>
      </c>
      <c r="E12" s="3" t="s">
        <v>190</v>
      </c>
      <c r="F12" s="3"/>
      <c r="G12" s="17"/>
      <c r="J12" s="102"/>
    </row>
    <row r="13" spans="3:10" ht="12.75">
      <c r="C13" s="4"/>
      <c r="D13" s="103">
        <f>3600/D9</f>
        <v>360</v>
      </c>
      <c r="E13" s="3" t="s">
        <v>191</v>
      </c>
      <c r="J13" s="8"/>
    </row>
    <row r="14" spans="1:10" s="3" customFormat="1" ht="12.75">
      <c r="A14" s="2"/>
      <c r="B14" s="2"/>
      <c r="C14" s="4"/>
      <c r="D14" s="104" t="s">
        <v>192</v>
      </c>
      <c r="F14" s="47"/>
      <c r="G14" s="105"/>
      <c r="H14" s="105"/>
      <c r="I14" s="106"/>
      <c r="J14" s="59"/>
    </row>
    <row r="15" spans="1:10" ht="12.75">
      <c r="A15" s="2" t="s">
        <v>9</v>
      </c>
      <c r="E15" s="4"/>
      <c r="F15" s="85" t="s">
        <v>193</v>
      </c>
      <c r="G15" s="18"/>
      <c r="H15" s="107" t="s">
        <v>33</v>
      </c>
      <c r="I15" s="130" t="s">
        <v>29</v>
      </c>
      <c r="J15" s="108"/>
    </row>
    <row r="16" spans="1:10" ht="12.75">
      <c r="A16" s="2" t="s">
        <v>14</v>
      </c>
      <c r="B16" s="29">
        <v>0</v>
      </c>
      <c r="C16" s="3" t="s">
        <v>194</v>
      </c>
      <c r="E16" s="5"/>
      <c r="F16" s="20" t="s">
        <v>22</v>
      </c>
      <c r="G16" s="16">
        <v>6</v>
      </c>
      <c r="H16" s="30">
        <v>6</v>
      </c>
      <c r="I16" s="125" t="s">
        <v>30</v>
      </c>
      <c r="J16" s="90"/>
    </row>
    <row r="17" spans="1:10" ht="12.75">
      <c r="A17" s="2" t="s">
        <v>10</v>
      </c>
      <c r="B17" s="29">
        <v>0</v>
      </c>
      <c r="C17" s="3" t="s">
        <v>195</v>
      </c>
      <c r="F17" s="20" t="s">
        <v>14</v>
      </c>
      <c r="G17" s="16">
        <v>2</v>
      </c>
      <c r="H17" s="30">
        <v>0</v>
      </c>
      <c r="I17" s="131">
        <f>8000000/H26</f>
        <v>800000</v>
      </c>
      <c r="J17" s="90"/>
    </row>
    <row r="18" spans="1:10" ht="12.75">
      <c r="A18" s="2" t="s">
        <v>11</v>
      </c>
      <c r="B18" s="29">
        <v>0</v>
      </c>
      <c r="F18" s="20" t="s">
        <v>10</v>
      </c>
      <c r="G18" s="16">
        <v>2</v>
      </c>
      <c r="H18" s="30">
        <v>0</v>
      </c>
      <c r="I18" s="125"/>
      <c r="J18" s="90"/>
    </row>
    <row r="19" spans="1:10" ht="12.75">
      <c r="A19" s="2" t="s">
        <v>12</v>
      </c>
      <c r="B19" s="29">
        <v>0</v>
      </c>
      <c r="F19" s="20" t="s">
        <v>11</v>
      </c>
      <c r="G19" s="16">
        <v>2</v>
      </c>
      <c r="H19" s="30">
        <v>0</v>
      </c>
      <c r="I19" s="125"/>
      <c r="J19" s="90"/>
    </row>
    <row r="20" spans="1:10" ht="12.75">
      <c r="A20" s="2" t="s">
        <v>13</v>
      </c>
      <c r="B20" s="98">
        <f>SUM(B16:B19)</f>
        <v>0</v>
      </c>
      <c r="C20" s="3" t="s">
        <v>31</v>
      </c>
      <c r="F20" s="20" t="s">
        <v>12</v>
      </c>
      <c r="G20" s="16">
        <v>2</v>
      </c>
      <c r="H20" s="30">
        <v>0</v>
      </c>
      <c r="I20" s="125"/>
      <c r="J20" s="90"/>
    </row>
    <row r="21" spans="4:10" ht="12.75">
      <c r="D21" s="1"/>
      <c r="F21" s="20" t="s">
        <v>24</v>
      </c>
      <c r="G21" s="16">
        <v>3</v>
      </c>
      <c r="H21" s="30">
        <v>0</v>
      </c>
      <c r="I21" s="125"/>
      <c r="J21" s="90"/>
    </row>
    <row r="22" spans="1:10" ht="12.75">
      <c r="A22" s="1" t="s">
        <v>0</v>
      </c>
      <c r="B22" s="1"/>
      <c r="C22" s="1"/>
      <c r="F22" s="20" t="s">
        <v>25</v>
      </c>
      <c r="G22" s="22">
        <v>4</v>
      </c>
      <c r="H22" s="31">
        <v>4</v>
      </c>
      <c r="I22" s="125"/>
      <c r="J22" s="90"/>
    </row>
    <row r="23" spans="1:10" ht="12.75">
      <c r="A23" s="2">
        <v>0.000135</v>
      </c>
      <c r="B23" s="2">
        <v>3600</v>
      </c>
      <c r="C23" s="2">
        <f>A23*B23</f>
        <v>0.486</v>
      </c>
      <c r="F23" s="20" t="s">
        <v>26</v>
      </c>
      <c r="G23" s="16">
        <v>7</v>
      </c>
      <c r="H23" s="30">
        <v>0</v>
      </c>
      <c r="I23" s="125"/>
      <c r="J23" s="90"/>
    </row>
    <row r="24" spans="1:10" ht="12.75">
      <c r="A24" s="5" t="s">
        <v>2</v>
      </c>
      <c r="B24" s="5" t="s">
        <v>5</v>
      </c>
      <c r="C24" s="5" t="s">
        <v>4</v>
      </c>
      <c r="F24" s="20" t="s">
        <v>27</v>
      </c>
      <c r="G24" s="16">
        <v>7</v>
      </c>
      <c r="H24" s="30">
        <v>0</v>
      </c>
      <c r="I24" s="125"/>
      <c r="J24" s="90"/>
    </row>
    <row r="25" spans="1:10" s="1" customFormat="1" ht="12.75">
      <c r="A25" s="2"/>
      <c r="B25" s="2"/>
      <c r="C25" s="2"/>
      <c r="D25" s="2"/>
      <c r="F25" s="23" t="s">
        <v>27</v>
      </c>
      <c r="G25" s="13">
        <v>7</v>
      </c>
      <c r="H25" s="30">
        <v>0</v>
      </c>
      <c r="I25" s="132"/>
      <c r="J25" s="109" t="s">
        <v>181</v>
      </c>
    </row>
    <row r="26" spans="1:10" ht="12.75">
      <c r="A26" s="1" t="s">
        <v>196</v>
      </c>
      <c r="F26" s="24" t="s">
        <v>28</v>
      </c>
      <c r="G26" s="13"/>
      <c r="H26" s="110">
        <f>SUM(H16:H25)</f>
        <v>10</v>
      </c>
      <c r="I26" s="133"/>
      <c r="J26" s="111">
        <f>D9*H5*24*30/I17</f>
        <v>0.081</v>
      </c>
    </row>
    <row r="27" spans="1:10" ht="12.75">
      <c r="A27" s="3"/>
      <c r="F27" s="5"/>
      <c r="G27" s="16"/>
      <c r="H27" s="16"/>
      <c r="I27" s="15"/>
      <c r="J27" s="16"/>
    </row>
    <row r="28" spans="1:8" ht="12.75">
      <c r="A28" s="26" t="s">
        <v>38</v>
      </c>
      <c r="B28" s="25"/>
      <c r="C28" s="25"/>
      <c r="F28" s="25"/>
      <c r="G28" s="27"/>
      <c r="H28" s="27"/>
    </row>
    <row r="29" spans="1:2" ht="12.75">
      <c r="A29" s="37" t="s">
        <v>43</v>
      </c>
      <c r="B29" s="3"/>
    </row>
    <row r="30" ht="12.75">
      <c r="A30" s="26" t="s">
        <v>39</v>
      </c>
    </row>
    <row r="31" spans="1:10" s="25" customFormat="1" ht="12.75">
      <c r="A31" s="26" t="s">
        <v>197</v>
      </c>
      <c r="B31" s="2"/>
      <c r="C31" s="2"/>
      <c r="D31" s="2"/>
      <c r="F31" s="2"/>
      <c r="G31" s="7"/>
      <c r="H31" s="7"/>
      <c r="I31" s="28"/>
      <c r="J31" s="27"/>
    </row>
    <row r="32" ht="12.75">
      <c r="A32" s="25"/>
    </row>
  </sheetData>
  <sheetProtection sheet="1" objects="1" scenarios="1" selectLockedCells="1"/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O32"/>
  <sheetViews>
    <sheetView workbookViewId="0" topLeftCell="A1">
      <selection activeCell="B4" sqref="B4"/>
    </sheetView>
  </sheetViews>
  <sheetFormatPr defaultColWidth="9.140625" defaultRowHeight="12.75"/>
  <cols>
    <col min="1" max="1" width="17.421875" style="2" customWidth="1"/>
    <col min="2" max="2" width="20.140625" style="2" customWidth="1"/>
    <col min="3" max="3" width="15.57421875" style="2" customWidth="1"/>
    <col min="4" max="4" width="15.8515625" style="2" customWidth="1"/>
    <col min="5" max="5" width="20.00390625" style="2" customWidth="1"/>
    <col min="6" max="6" width="14.28125" style="2" customWidth="1"/>
    <col min="7" max="8" width="8.28125" style="7" customWidth="1"/>
    <col min="9" max="9" width="9.2812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217</v>
      </c>
      <c r="C1" s="35" t="s">
        <v>42</v>
      </c>
      <c r="E1" s="2" t="s">
        <v>41</v>
      </c>
      <c r="F1" s="29">
        <v>20</v>
      </c>
      <c r="G1" s="3" t="s">
        <v>37</v>
      </c>
      <c r="H1" s="2"/>
      <c r="I1" s="2"/>
      <c r="J1" s="2"/>
    </row>
    <row r="2" spans="1:10" ht="12.75">
      <c r="A2" s="3" t="s">
        <v>34</v>
      </c>
      <c r="B2" s="5"/>
      <c r="C2" s="78" t="s">
        <v>139</v>
      </c>
      <c r="E2" s="6" t="s">
        <v>36</v>
      </c>
      <c r="G2" s="38" t="s">
        <v>40</v>
      </c>
      <c r="H2" s="2"/>
      <c r="I2" s="2"/>
      <c r="J2" s="2"/>
    </row>
    <row r="3" spans="1:15" ht="12.75">
      <c r="A3" s="112"/>
      <c r="B3" s="5"/>
      <c r="C3" s="81"/>
      <c r="E3" s="6"/>
      <c r="G3" s="38"/>
      <c r="H3" s="2"/>
      <c r="I3" s="2"/>
      <c r="J3" s="2"/>
      <c r="M3" s="63"/>
      <c r="N3" s="63"/>
      <c r="O3" s="63"/>
    </row>
    <row r="4" spans="1:15" ht="12.75">
      <c r="A4" s="2" t="s">
        <v>44</v>
      </c>
      <c r="B4" s="29">
        <v>10</v>
      </c>
      <c r="C4" s="4">
        <f>0.005*0.5*B4</f>
        <v>0.025</v>
      </c>
      <c r="D4" s="29">
        <v>1</v>
      </c>
      <c r="F4" s="51"/>
      <c r="G4" s="51" t="s">
        <v>176</v>
      </c>
      <c r="H4" s="83">
        <v>9</v>
      </c>
      <c r="I4" s="84" t="s">
        <v>177</v>
      </c>
      <c r="J4" s="82"/>
      <c r="M4" s="63">
        <f>IF(B10&lt;1,0.3,0)</f>
        <v>0.3</v>
      </c>
      <c r="N4" s="63"/>
      <c r="O4" s="63"/>
    </row>
    <row r="5" spans="2:15" ht="12.75">
      <c r="B5" s="2" t="s">
        <v>45</v>
      </c>
      <c r="C5" s="5" t="s">
        <v>4</v>
      </c>
      <c r="D5" s="2" t="s">
        <v>218</v>
      </c>
      <c r="G5" s="16"/>
      <c r="H5" s="16"/>
      <c r="I5" s="15"/>
      <c r="J5" s="16"/>
      <c r="M5" s="63"/>
      <c r="N5" s="63"/>
      <c r="O5" s="63"/>
    </row>
    <row r="6" spans="1:15" ht="12.75">
      <c r="A6" s="3" t="s">
        <v>198</v>
      </c>
      <c r="D6" s="6"/>
      <c r="F6" s="85" t="s">
        <v>179</v>
      </c>
      <c r="G6" s="86" t="s">
        <v>180</v>
      </c>
      <c r="H6" s="87"/>
      <c r="I6" s="87" t="s">
        <v>20</v>
      </c>
      <c r="J6" s="88" t="s">
        <v>181</v>
      </c>
      <c r="M6" s="63"/>
      <c r="N6" s="63"/>
      <c r="O6" s="63"/>
    </row>
    <row r="7" spans="2:15" s="3" customFormat="1" ht="12.75">
      <c r="B7" s="2" t="s">
        <v>182</v>
      </c>
      <c r="F7" s="89" t="s">
        <v>15</v>
      </c>
      <c r="G7" s="16" t="s">
        <v>183</v>
      </c>
      <c r="H7" s="16" t="s">
        <v>184</v>
      </c>
      <c r="I7" s="16"/>
      <c r="J7" s="90"/>
      <c r="M7" s="113"/>
      <c r="N7" s="113"/>
      <c r="O7" s="113"/>
    </row>
    <row r="8" spans="1:15" ht="12.75">
      <c r="A8" s="2">
        <v>0.065</v>
      </c>
      <c r="B8" s="91">
        <v>1</v>
      </c>
      <c r="C8" s="4">
        <f>(A8+(B19/1000))*B11</f>
        <v>0.1625</v>
      </c>
      <c r="D8" s="29">
        <v>40</v>
      </c>
      <c r="E8" s="4">
        <f>C8*D8+C22+(C4*D4)</f>
        <v>7.011</v>
      </c>
      <c r="F8" s="29">
        <v>12.2</v>
      </c>
      <c r="G8" s="92">
        <f>((F1+20)/40)*F8*150/E8</f>
        <v>261.0183996576808</v>
      </c>
      <c r="H8" s="93">
        <f>G8/30</f>
        <v>8.700613321922694</v>
      </c>
      <c r="I8" s="92">
        <f>G8*D8*24</f>
        <v>250577.66367137354</v>
      </c>
      <c r="J8" s="94">
        <f>D8*H4*24*30/I8</f>
        <v>1.0344098360655738</v>
      </c>
      <c r="M8" s="63"/>
      <c r="N8" s="63"/>
      <c r="O8" s="63"/>
    </row>
    <row r="9" spans="1:10" ht="12.75">
      <c r="A9" s="2" t="s">
        <v>2</v>
      </c>
      <c r="B9" s="2" t="s">
        <v>185</v>
      </c>
      <c r="C9" s="5" t="s">
        <v>4</v>
      </c>
      <c r="D9" s="2" t="s">
        <v>6</v>
      </c>
      <c r="E9" s="5" t="s">
        <v>7</v>
      </c>
      <c r="F9" s="95" t="s">
        <v>186</v>
      </c>
      <c r="G9" s="96"/>
      <c r="H9" s="16"/>
      <c r="I9" s="15"/>
      <c r="J9" s="97"/>
    </row>
    <row r="10" spans="1:10" ht="12.75">
      <c r="A10" s="2" t="s">
        <v>219</v>
      </c>
      <c r="B10" s="67">
        <v>0</v>
      </c>
      <c r="C10" s="62"/>
      <c r="E10" s="2" t="s">
        <v>187</v>
      </c>
      <c r="F10" s="99" t="s">
        <v>188</v>
      </c>
      <c r="G10" s="100"/>
      <c r="H10" s="13"/>
      <c r="I10" s="14"/>
      <c r="J10" s="101"/>
    </row>
    <row r="11" spans="2:10" ht="12.75">
      <c r="B11" s="98">
        <f>2.2+(0.25*(B8-1))+M4</f>
        <v>2.5</v>
      </c>
      <c r="C11" s="4"/>
      <c r="D11" s="2">
        <f>60/D8</f>
        <v>1.5</v>
      </c>
      <c r="E11" s="3" t="s">
        <v>190</v>
      </c>
      <c r="F11" s="3"/>
      <c r="G11" s="17"/>
      <c r="J11" s="102"/>
    </row>
    <row r="12" spans="2:10" ht="12.75">
      <c r="B12" s="2" t="s">
        <v>189</v>
      </c>
      <c r="C12" s="4"/>
      <c r="D12" s="103">
        <f>3600/D8</f>
        <v>90</v>
      </c>
      <c r="E12" s="3" t="s">
        <v>191</v>
      </c>
      <c r="J12" s="8"/>
    </row>
    <row r="13" spans="1:4" s="3" customFormat="1" ht="12.75">
      <c r="A13" s="2"/>
      <c r="C13" s="4"/>
      <c r="D13" s="104" t="s">
        <v>192</v>
      </c>
    </row>
    <row r="14" spans="1:10" ht="12.75">
      <c r="A14" s="2" t="s">
        <v>9</v>
      </c>
      <c r="E14" s="5"/>
      <c r="F14" s="85" t="s">
        <v>193</v>
      </c>
      <c r="G14" s="18"/>
      <c r="H14" s="107" t="s">
        <v>33</v>
      </c>
      <c r="I14" s="130" t="s">
        <v>29</v>
      </c>
      <c r="J14" s="108"/>
    </row>
    <row r="15" spans="1:10" ht="12.75">
      <c r="A15" s="2" t="s">
        <v>14</v>
      </c>
      <c r="B15" s="29">
        <v>0</v>
      </c>
      <c r="C15" s="3" t="s">
        <v>194</v>
      </c>
      <c r="F15" s="20" t="s">
        <v>22</v>
      </c>
      <c r="G15" s="16">
        <v>6</v>
      </c>
      <c r="H15" s="30">
        <v>6</v>
      </c>
      <c r="I15" s="125" t="s">
        <v>30</v>
      </c>
      <c r="J15" s="90"/>
    </row>
    <row r="16" spans="1:10" ht="12.75">
      <c r="A16" s="2" t="s">
        <v>10</v>
      </c>
      <c r="B16" s="29">
        <v>0</v>
      </c>
      <c r="C16" s="3" t="s">
        <v>195</v>
      </c>
      <c r="F16" s="20" t="s">
        <v>23</v>
      </c>
      <c r="G16" s="16">
        <v>5</v>
      </c>
      <c r="H16" s="30">
        <v>0</v>
      </c>
      <c r="I16" s="134">
        <f>8000000/H27</f>
        <v>500000</v>
      </c>
      <c r="J16" s="90"/>
    </row>
    <row r="17" spans="1:10" ht="12.75">
      <c r="A17" s="2" t="s">
        <v>11</v>
      </c>
      <c r="B17" s="29">
        <v>0</v>
      </c>
      <c r="F17" s="20" t="s">
        <v>269</v>
      </c>
      <c r="G17" s="16">
        <v>6</v>
      </c>
      <c r="H17" s="30">
        <v>6</v>
      </c>
      <c r="I17" s="125"/>
      <c r="J17" s="90"/>
    </row>
    <row r="18" spans="1:10" ht="12.75">
      <c r="A18" s="2" t="s">
        <v>12</v>
      </c>
      <c r="B18" s="29">
        <v>0</v>
      </c>
      <c r="F18" s="20" t="s">
        <v>14</v>
      </c>
      <c r="G18" s="16">
        <v>2</v>
      </c>
      <c r="H18" s="30">
        <v>0</v>
      </c>
      <c r="I18" s="125"/>
      <c r="J18" s="90"/>
    </row>
    <row r="19" spans="1:10" ht="12.75">
      <c r="A19" s="2" t="s">
        <v>13</v>
      </c>
      <c r="B19" s="98">
        <f>SUM(B15:B18)</f>
        <v>0</v>
      </c>
      <c r="C19" s="3" t="s">
        <v>31</v>
      </c>
      <c r="F19" s="20" t="s">
        <v>10</v>
      </c>
      <c r="G19" s="16">
        <v>2</v>
      </c>
      <c r="H19" s="30">
        <v>0</v>
      </c>
      <c r="I19" s="125"/>
      <c r="J19" s="90"/>
    </row>
    <row r="20" spans="4:10" ht="12.75">
      <c r="D20" s="1"/>
      <c r="F20" s="20" t="s">
        <v>11</v>
      </c>
      <c r="G20" s="16">
        <v>2</v>
      </c>
      <c r="H20" s="30">
        <v>0</v>
      </c>
      <c r="I20" s="125"/>
      <c r="J20" s="90"/>
    </row>
    <row r="21" spans="1:10" ht="12.75">
      <c r="A21" s="1" t="s">
        <v>0</v>
      </c>
      <c r="B21" s="1"/>
      <c r="C21" s="1"/>
      <c r="F21" s="20" t="s">
        <v>12</v>
      </c>
      <c r="G21" s="16">
        <v>2</v>
      </c>
      <c r="H21" s="30">
        <v>0</v>
      </c>
      <c r="I21" s="125"/>
      <c r="J21" s="90"/>
    </row>
    <row r="22" spans="1:10" ht="12.75">
      <c r="A22" s="2">
        <v>0.000135</v>
      </c>
      <c r="B22" s="2">
        <v>3600</v>
      </c>
      <c r="C22" s="2">
        <f>A22*B22</f>
        <v>0.486</v>
      </c>
      <c r="F22" s="20" t="s">
        <v>24</v>
      </c>
      <c r="G22" s="16">
        <v>3</v>
      </c>
      <c r="H22" s="30">
        <v>0</v>
      </c>
      <c r="I22" s="125"/>
      <c r="J22" s="90"/>
    </row>
    <row r="23" spans="1:10" ht="12.75">
      <c r="A23" s="5" t="s">
        <v>2</v>
      </c>
      <c r="B23" s="5" t="s">
        <v>5</v>
      </c>
      <c r="C23" s="5" t="s">
        <v>4</v>
      </c>
      <c r="E23" s="1"/>
      <c r="F23" s="20" t="s">
        <v>25</v>
      </c>
      <c r="G23" s="22">
        <v>4</v>
      </c>
      <c r="H23" s="31">
        <v>4</v>
      </c>
      <c r="I23" s="125"/>
      <c r="J23" s="90"/>
    </row>
    <row r="24" spans="1:10" s="1" customFormat="1" ht="12.75">
      <c r="A24" s="2"/>
      <c r="B24" s="2"/>
      <c r="C24" s="2"/>
      <c r="D24" s="2"/>
      <c r="E24" s="2"/>
      <c r="F24" s="20" t="s">
        <v>26</v>
      </c>
      <c r="G24" s="16">
        <v>7</v>
      </c>
      <c r="H24" s="30">
        <v>0</v>
      </c>
      <c r="I24" s="125"/>
      <c r="J24" s="90"/>
    </row>
    <row r="25" spans="1:10" ht="12.75">
      <c r="A25" s="3"/>
      <c r="F25" s="20" t="s">
        <v>27</v>
      </c>
      <c r="G25" s="16">
        <v>7</v>
      </c>
      <c r="H25" s="30">
        <v>0</v>
      </c>
      <c r="I25" s="125"/>
      <c r="J25" s="90"/>
    </row>
    <row r="26" spans="2:10" ht="12.75">
      <c r="B26" s="25"/>
      <c r="C26" s="25"/>
      <c r="F26" s="23" t="s">
        <v>27</v>
      </c>
      <c r="G26" s="13">
        <v>7</v>
      </c>
      <c r="H26" s="30">
        <v>0</v>
      </c>
      <c r="I26" s="132"/>
      <c r="J26" s="109" t="s">
        <v>181</v>
      </c>
    </row>
    <row r="27" spans="2:10" ht="12.75">
      <c r="B27" s="3"/>
      <c r="F27" s="24" t="s">
        <v>28</v>
      </c>
      <c r="G27" s="13"/>
      <c r="H27" s="110">
        <f>SUM(H15:H26)</f>
        <v>16</v>
      </c>
      <c r="I27" s="133"/>
      <c r="J27" s="111">
        <f>D8*H4*24*30/I16</f>
        <v>0.5184</v>
      </c>
    </row>
    <row r="28" ht="12.75">
      <c r="A28" s="26" t="s">
        <v>38</v>
      </c>
    </row>
    <row r="29" spans="1:10" ht="12.75">
      <c r="A29" s="37" t="s">
        <v>202</v>
      </c>
      <c r="E29" s="25"/>
      <c r="F29" s="25"/>
      <c r="G29" s="25"/>
      <c r="H29" s="25"/>
      <c r="I29" s="25"/>
      <c r="J29" s="25"/>
    </row>
    <row r="30" spans="1:10" s="25" customFormat="1" ht="12.75">
      <c r="A30" s="26" t="s">
        <v>39</v>
      </c>
      <c r="B30" s="2"/>
      <c r="C30" s="2"/>
      <c r="D30" s="2"/>
      <c r="E30" s="2"/>
      <c r="F30" s="2"/>
      <c r="G30" s="7"/>
      <c r="H30" s="7"/>
      <c r="I30" s="10"/>
      <c r="J30" s="7"/>
    </row>
    <row r="31" ht="12.75">
      <c r="A31" s="26" t="s">
        <v>197</v>
      </c>
    </row>
    <row r="32" spans="1:10" ht="12.75">
      <c r="A32" s="26"/>
      <c r="I32" s="28"/>
      <c r="J32" s="27"/>
    </row>
  </sheetData>
  <sheetProtection sheet="1" objects="1" scenarios="1" selectLockedCells="1"/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O35"/>
  <sheetViews>
    <sheetView workbookViewId="0" topLeftCell="A1">
      <selection activeCell="B4" sqref="B4"/>
    </sheetView>
  </sheetViews>
  <sheetFormatPr defaultColWidth="9.140625" defaultRowHeight="12.75"/>
  <cols>
    <col min="1" max="1" width="17.28125" style="2" customWidth="1"/>
    <col min="2" max="2" width="20.140625" style="2" customWidth="1"/>
    <col min="3" max="3" width="16.8515625" style="2" customWidth="1"/>
    <col min="4" max="4" width="15.8515625" style="2" customWidth="1"/>
    <col min="5" max="5" width="19.28125" style="2" customWidth="1"/>
    <col min="6" max="6" width="14.28125" style="2" customWidth="1"/>
    <col min="7" max="8" width="8.28125" style="7" customWidth="1"/>
    <col min="9" max="9" width="9.28125" style="10" customWidth="1"/>
    <col min="10" max="10" width="9.57421875" style="7" customWidth="1"/>
    <col min="11" max="16384" width="9.140625" style="2" customWidth="1"/>
  </cols>
  <sheetData>
    <row r="1" spans="1:10" ht="12.75">
      <c r="A1" s="12" t="s">
        <v>217</v>
      </c>
      <c r="C1" s="35" t="s">
        <v>203</v>
      </c>
      <c r="E1" s="2" t="s">
        <v>41</v>
      </c>
      <c r="F1" s="29">
        <v>20</v>
      </c>
      <c r="G1" s="3" t="s">
        <v>37</v>
      </c>
      <c r="H1" s="2"/>
      <c r="I1" s="2"/>
      <c r="J1" s="2"/>
    </row>
    <row r="2" spans="1:10" ht="12.75">
      <c r="A2" s="3" t="s">
        <v>34</v>
      </c>
      <c r="B2" s="5"/>
      <c r="C2" s="78" t="s">
        <v>139</v>
      </c>
      <c r="E2" s="6" t="s">
        <v>36</v>
      </c>
      <c r="G2" s="38" t="s">
        <v>40</v>
      </c>
      <c r="H2" s="2"/>
      <c r="I2" s="2"/>
      <c r="J2" s="2"/>
    </row>
    <row r="3" spans="1:10" ht="12.75">
      <c r="A3" s="3"/>
      <c r="B3" s="5"/>
      <c r="C3" s="81"/>
      <c r="E3" s="6"/>
      <c r="G3" s="38"/>
      <c r="H3" s="2"/>
      <c r="I3" s="2"/>
      <c r="J3" s="2"/>
    </row>
    <row r="4" spans="1:10" ht="12.75">
      <c r="A4" s="2" t="s">
        <v>44</v>
      </c>
      <c r="B4" s="29">
        <v>10</v>
      </c>
      <c r="C4" s="4">
        <f>0.005*0.5*B4</f>
        <v>0.025</v>
      </c>
      <c r="D4" s="29">
        <v>1</v>
      </c>
      <c r="E4" s="6"/>
      <c r="F4" s="82"/>
      <c r="G4" s="51" t="s">
        <v>176</v>
      </c>
      <c r="H4" s="83">
        <v>9</v>
      </c>
      <c r="I4" s="84" t="s">
        <v>177</v>
      </c>
      <c r="J4" s="82"/>
    </row>
    <row r="5" spans="2:10" ht="12.75">
      <c r="B5" s="2" t="s">
        <v>45</v>
      </c>
      <c r="C5" s="5" t="s">
        <v>4</v>
      </c>
      <c r="D5" s="2" t="s">
        <v>218</v>
      </c>
      <c r="F5" s="5"/>
      <c r="G5" s="16"/>
      <c r="H5" s="16"/>
      <c r="I5" s="15"/>
      <c r="J5" s="16"/>
    </row>
    <row r="6" spans="1:10" ht="12.75">
      <c r="A6" s="3" t="s">
        <v>204</v>
      </c>
      <c r="D6" s="6"/>
      <c r="F6" s="85" t="s">
        <v>179</v>
      </c>
      <c r="G6" s="86" t="s">
        <v>180</v>
      </c>
      <c r="H6" s="87"/>
      <c r="I6" s="87" t="s">
        <v>20</v>
      </c>
      <c r="J6" s="88" t="s">
        <v>181</v>
      </c>
    </row>
    <row r="7" spans="2:10" s="3" customFormat="1" ht="12.75">
      <c r="B7" s="2" t="s">
        <v>182</v>
      </c>
      <c r="E7" s="6" t="s">
        <v>205</v>
      </c>
      <c r="F7" s="89" t="s">
        <v>15</v>
      </c>
      <c r="G7" s="16" t="s">
        <v>183</v>
      </c>
      <c r="H7" s="16" t="s">
        <v>184</v>
      </c>
      <c r="I7" s="16"/>
      <c r="J7" s="90"/>
    </row>
    <row r="8" spans="1:10" ht="12.75">
      <c r="A8" s="2">
        <v>0.05</v>
      </c>
      <c r="B8" s="91">
        <v>1</v>
      </c>
      <c r="C8" s="4">
        <f>(A8+(B24/1000))*B11</f>
        <v>0.135</v>
      </c>
      <c r="D8" s="29">
        <v>6</v>
      </c>
      <c r="E8" s="4">
        <f>(C8+C14)*D8+C27+(C4*D4)</f>
        <v>1.6209999999999998</v>
      </c>
      <c r="F8" s="29">
        <v>10.5</v>
      </c>
      <c r="G8" s="92">
        <f>((F1+20)/40)*F8*150/E8</f>
        <v>971.622455274522</v>
      </c>
      <c r="H8" s="93">
        <f>G8/30</f>
        <v>32.3874151758174</v>
      </c>
      <c r="I8" s="92">
        <f>G8*D8*24</f>
        <v>139913.63355953118</v>
      </c>
      <c r="J8" s="94">
        <f>D8*H4*24*30/I8</f>
        <v>0.27788571428571424</v>
      </c>
    </row>
    <row r="9" spans="1:10" ht="12.75">
      <c r="A9" s="2" t="s">
        <v>2</v>
      </c>
      <c r="B9" s="2" t="s">
        <v>185</v>
      </c>
      <c r="C9" s="5" t="s">
        <v>4</v>
      </c>
      <c r="D9" s="2" t="s">
        <v>6</v>
      </c>
      <c r="E9" s="5" t="s">
        <v>7</v>
      </c>
      <c r="F9" s="95" t="s">
        <v>186</v>
      </c>
      <c r="G9" s="96"/>
      <c r="H9" s="16"/>
      <c r="I9" s="15"/>
      <c r="J9" s="97"/>
    </row>
    <row r="10" spans="1:10" ht="12.75">
      <c r="A10" s="2" t="s">
        <v>206</v>
      </c>
      <c r="B10" s="114">
        <f>2.2+(0.25*(B8-1))</f>
        <v>2.2</v>
      </c>
      <c r="C10" s="4"/>
      <c r="D10" s="2">
        <f>60/D8</f>
        <v>10</v>
      </c>
      <c r="E10" s="3" t="s">
        <v>190</v>
      </c>
      <c r="F10" s="99" t="s">
        <v>188</v>
      </c>
      <c r="G10" s="100"/>
      <c r="H10" s="13"/>
      <c r="I10" s="14"/>
      <c r="J10" s="101"/>
    </row>
    <row r="11" spans="1:10" ht="12.75">
      <c r="A11" s="2" t="s">
        <v>189</v>
      </c>
      <c r="B11" s="103">
        <f>IF(C17&lt;1,B10+C17,C17)</f>
        <v>2.7</v>
      </c>
      <c r="C11" s="62" t="s">
        <v>207</v>
      </c>
      <c r="D11" s="103">
        <f>3600/D8</f>
        <v>600</v>
      </c>
      <c r="E11" s="3" t="s">
        <v>191</v>
      </c>
      <c r="F11" s="3"/>
      <c r="G11" s="17"/>
      <c r="J11" s="102"/>
    </row>
    <row r="12" spans="4:10" ht="12.75">
      <c r="D12" s="115" t="s">
        <v>192</v>
      </c>
      <c r="E12" s="3"/>
      <c r="J12" s="8"/>
    </row>
    <row r="13" spans="1:10" s="3" customFormat="1" ht="12.75">
      <c r="A13" s="6" t="s">
        <v>208</v>
      </c>
      <c r="B13" s="6" t="s">
        <v>209</v>
      </c>
      <c r="C13" s="4"/>
      <c r="F13" s="47"/>
      <c r="G13" s="105"/>
      <c r="H13" s="105"/>
      <c r="I13" s="106"/>
      <c r="J13" s="59"/>
    </row>
    <row r="14" spans="1:13" ht="12.75">
      <c r="A14" s="29">
        <v>0.1</v>
      </c>
      <c r="B14" s="29" t="s">
        <v>210</v>
      </c>
      <c r="C14" s="4">
        <f>A14*C17</f>
        <v>0.05</v>
      </c>
      <c r="D14" s="6"/>
      <c r="E14" s="3"/>
      <c r="F14" s="85" t="s">
        <v>193</v>
      </c>
      <c r="G14" s="18"/>
      <c r="H14" s="18" t="s">
        <v>33</v>
      </c>
      <c r="I14" s="130" t="s">
        <v>29</v>
      </c>
      <c r="J14" s="108"/>
      <c r="M14" s="2">
        <v>0.1</v>
      </c>
    </row>
    <row r="15" spans="1:13" ht="12.75">
      <c r="A15" s="2" t="s">
        <v>211</v>
      </c>
      <c r="B15" s="2" t="s">
        <v>270</v>
      </c>
      <c r="C15" s="5" t="s">
        <v>4</v>
      </c>
      <c r="D15" s="6"/>
      <c r="E15" s="3"/>
      <c r="F15" s="20" t="s">
        <v>22</v>
      </c>
      <c r="G15" s="16">
        <v>6</v>
      </c>
      <c r="H15" s="135">
        <v>6</v>
      </c>
      <c r="I15" s="125" t="s">
        <v>30</v>
      </c>
      <c r="J15" s="90"/>
      <c r="M15" s="2">
        <v>0.15</v>
      </c>
    </row>
    <row r="16" spans="5:10" ht="12.75">
      <c r="E16" s="3"/>
      <c r="F16" s="20" t="s">
        <v>14</v>
      </c>
      <c r="G16" s="16">
        <v>2</v>
      </c>
      <c r="H16" s="135">
        <v>0</v>
      </c>
      <c r="I16" s="131">
        <f>8000000/H25</f>
        <v>800000</v>
      </c>
      <c r="J16" s="90"/>
    </row>
    <row r="17" spans="1:10" ht="12.75">
      <c r="A17" s="2" t="s">
        <v>212</v>
      </c>
      <c r="B17" s="29">
        <v>0</v>
      </c>
      <c r="C17" s="2">
        <f>VLOOKUP(B14,L19:M20,2,FALSE)</f>
        <v>0.5</v>
      </c>
      <c r="D17" s="3" t="s">
        <v>213</v>
      </c>
      <c r="E17" s="3"/>
      <c r="F17" s="20" t="s">
        <v>10</v>
      </c>
      <c r="G17" s="16">
        <v>2</v>
      </c>
      <c r="H17" s="135">
        <v>0</v>
      </c>
      <c r="I17" s="125"/>
      <c r="J17" s="90"/>
    </row>
    <row r="18" spans="2:10" ht="12.75">
      <c r="B18" s="116" t="s">
        <v>220</v>
      </c>
      <c r="E18" s="3"/>
      <c r="F18" s="20" t="s">
        <v>11</v>
      </c>
      <c r="G18" s="16">
        <v>2</v>
      </c>
      <c r="H18" s="135">
        <v>0</v>
      </c>
      <c r="I18" s="125"/>
      <c r="J18" s="90"/>
    </row>
    <row r="19" spans="1:15" ht="12.75">
      <c r="A19" s="2" t="s">
        <v>9</v>
      </c>
      <c r="E19" s="4"/>
      <c r="F19" s="20" t="s">
        <v>12</v>
      </c>
      <c r="G19" s="16">
        <v>2</v>
      </c>
      <c r="H19" s="135">
        <v>0</v>
      </c>
      <c r="I19" s="125"/>
      <c r="J19" s="90"/>
      <c r="L19" s="2" t="s">
        <v>210</v>
      </c>
      <c r="M19" s="2">
        <f>0.5</f>
        <v>0.5</v>
      </c>
      <c r="N19" s="2" t="s">
        <v>210</v>
      </c>
      <c r="O19" s="2">
        <f>VLOOKUP(N19,L19:M20,2,FALSE)</f>
        <v>0.5</v>
      </c>
    </row>
    <row r="20" spans="1:13" ht="12.75">
      <c r="A20" s="2" t="s">
        <v>14</v>
      </c>
      <c r="B20" s="29">
        <v>0</v>
      </c>
      <c r="C20" s="3" t="s">
        <v>194</v>
      </c>
      <c r="E20" s="5"/>
      <c r="F20" s="20" t="s">
        <v>24</v>
      </c>
      <c r="G20" s="16">
        <v>3</v>
      </c>
      <c r="H20" s="135">
        <v>0</v>
      </c>
      <c r="I20" s="125"/>
      <c r="J20" s="90"/>
      <c r="L20" s="2" t="s">
        <v>215</v>
      </c>
      <c r="M20" s="2">
        <f>B17+B10</f>
        <v>2.2</v>
      </c>
    </row>
    <row r="21" spans="1:10" ht="12.75">
      <c r="A21" s="2" t="s">
        <v>10</v>
      </c>
      <c r="B21" s="29">
        <v>0</v>
      </c>
      <c r="C21" s="3" t="s">
        <v>195</v>
      </c>
      <c r="F21" s="20" t="s">
        <v>25</v>
      </c>
      <c r="G21" s="22">
        <v>4</v>
      </c>
      <c r="H21" s="136">
        <v>4</v>
      </c>
      <c r="I21" s="125"/>
      <c r="J21" s="90"/>
    </row>
    <row r="22" spans="1:10" ht="12.75">
      <c r="A22" s="2" t="s">
        <v>11</v>
      </c>
      <c r="B22" s="29">
        <v>0</v>
      </c>
      <c r="F22" s="20" t="s">
        <v>26</v>
      </c>
      <c r="G22" s="16">
        <v>7</v>
      </c>
      <c r="H22" s="135">
        <v>0</v>
      </c>
      <c r="I22" s="125"/>
      <c r="J22" s="90"/>
    </row>
    <row r="23" spans="1:10" ht="12.75">
      <c r="A23" s="2" t="s">
        <v>12</v>
      </c>
      <c r="B23" s="29">
        <v>0</v>
      </c>
      <c r="F23" s="20" t="s">
        <v>27</v>
      </c>
      <c r="G23" s="16">
        <v>7</v>
      </c>
      <c r="H23" s="135">
        <v>0</v>
      </c>
      <c r="I23" s="125"/>
      <c r="J23" s="90"/>
    </row>
    <row r="24" spans="1:10" s="1" customFormat="1" ht="12.75">
      <c r="A24" s="2" t="s">
        <v>13</v>
      </c>
      <c r="B24" s="98">
        <f>SUM(B20:B23)</f>
        <v>0</v>
      </c>
      <c r="C24" s="3" t="s">
        <v>31</v>
      </c>
      <c r="D24" s="2"/>
      <c r="E24" s="2"/>
      <c r="F24" s="23" t="s">
        <v>27</v>
      </c>
      <c r="G24" s="13">
        <v>7</v>
      </c>
      <c r="H24" s="135">
        <v>0</v>
      </c>
      <c r="I24" s="132"/>
      <c r="J24" s="109" t="s">
        <v>181</v>
      </c>
    </row>
    <row r="25" spans="4:10" ht="12.75">
      <c r="D25" s="1"/>
      <c r="F25" s="24" t="s">
        <v>28</v>
      </c>
      <c r="G25" s="13"/>
      <c r="H25" s="137">
        <f>SUM(H15:H24)</f>
        <v>10</v>
      </c>
      <c r="I25" s="133"/>
      <c r="J25" s="111">
        <f>D8*H4*24*30/I16</f>
        <v>0.0486</v>
      </c>
    </row>
    <row r="26" spans="1:10" ht="12.75">
      <c r="A26" s="1" t="s">
        <v>0</v>
      </c>
      <c r="B26" s="1"/>
      <c r="C26" s="1"/>
      <c r="F26" s="5"/>
      <c r="G26" s="16"/>
      <c r="H26" s="16"/>
      <c r="I26" s="15"/>
      <c r="J26" s="16"/>
    </row>
    <row r="27" spans="1:8" ht="12.75">
      <c r="A27" s="2">
        <v>0.000135</v>
      </c>
      <c r="B27" s="2">
        <v>3600</v>
      </c>
      <c r="C27" s="2">
        <f>A27*B27</f>
        <v>0.486</v>
      </c>
      <c r="F27" s="25"/>
      <c r="G27" s="27"/>
      <c r="H27" s="27"/>
    </row>
    <row r="28" spans="1:3" ht="12.75">
      <c r="A28" s="5" t="s">
        <v>2</v>
      </c>
      <c r="B28" s="5" t="s">
        <v>5</v>
      </c>
      <c r="C28" s="5" t="s">
        <v>4</v>
      </c>
    </row>
    <row r="29" ht="12.75">
      <c r="E29" s="1"/>
    </row>
    <row r="30" spans="1:10" s="25" customFormat="1" ht="12.75">
      <c r="A30" s="1" t="s">
        <v>196</v>
      </c>
      <c r="B30" s="2"/>
      <c r="C30" s="2"/>
      <c r="D30" s="2"/>
      <c r="E30" s="2"/>
      <c r="F30" s="2"/>
      <c r="G30" s="7"/>
      <c r="H30" s="7"/>
      <c r="I30" s="28"/>
      <c r="J30" s="27"/>
    </row>
    <row r="31" spans="1:3" ht="12.75">
      <c r="A31" s="26" t="s">
        <v>38</v>
      </c>
      <c r="B31" s="25"/>
      <c r="C31" s="25"/>
    </row>
    <row r="32" spans="1:2" ht="12.75">
      <c r="A32" s="37" t="s">
        <v>43</v>
      </c>
      <c r="B32" s="3"/>
    </row>
    <row r="33" ht="12.75">
      <c r="A33" s="26" t="s">
        <v>39</v>
      </c>
    </row>
    <row r="34" ht="12.75">
      <c r="A34" s="26" t="s">
        <v>197</v>
      </c>
    </row>
    <row r="35" spans="1:5" ht="12.75">
      <c r="A35" s="26" t="s">
        <v>271</v>
      </c>
      <c r="E35" s="25"/>
    </row>
  </sheetData>
  <sheetProtection sheet="1" objects="1" scenarios="1" selectLockedCells="1"/>
  <dataValidations count="2">
    <dataValidation type="list" allowBlank="1" showInputMessage="1" showErrorMessage="1" sqref="A14">
      <formula1>$M$14:$M$15</formula1>
    </dataValidation>
    <dataValidation type="list" allowBlank="1" showInputMessage="1" showErrorMessage="1" sqref="N19:N20 B14">
      <formula1>$L$19:$L$20</formula1>
    </dataValidation>
  </dataValidations>
  <hyperlinks>
    <hyperlink ref="C2" location="'Intro &amp; TOC'!A1" display="(click here to -&gt; Intro)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Seabird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McCully</dc:creator>
  <cp:keywords/>
  <dc:description/>
  <cp:lastModifiedBy>Superman</cp:lastModifiedBy>
  <dcterms:created xsi:type="dcterms:W3CDTF">2004-04-29T17:41:08Z</dcterms:created>
  <dcterms:modified xsi:type="dcterms:W3CDTF">2005-04-19T17:55:06Z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